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20" windowHeight="7230" activeTab="0"/>
  </bookViews>
  <sheets>
    <sheet name="Read Me" sheetId="1" r:id="rId1"/>
    <sheet name="Parameters" sheetId="2" r:id="rId2"/>
    <sheet name="InfoView (Read Refresh)" sheetId="3" r:id="rId3"/>
    <sheet name="BusObj &amp; WebI (Edit Create)" sheetId="4" r:id="rId4"/>
    <sheet name="Dashboard Mgr (End User)" sheetId="5" r:id="rId5"/>
    <sheet name="Glossary" sheetId="6" r:id="rId6"/>
    <sheet name="W2K Parms" sheetId="7" r:id="rId7"/>
    <sheet name="Sun Parms" sheetId="8" r:id="rId8"/>
    <sheet name="AIX Parms" sheetId="9" r:id="rId9"/>
    <sheet name="HP Parms" sheetId="10" r:id="rId10"/>
  </sheets>
  <definedNames>
    <definedName name="AX_CPU_Linearity">'AIX Parms'!$E$15</definedName>
    <definedName name="AX_Node_HiWater">'AIX Parms'!$E$29</definedName>
    <definedName name="AX_P_Max_nb_of_BusObj_per_processor">'AIX Parms'!$E$7</definedName>
    <definedName name="AX_P_Max_nb_of_WIQT_per_CPU">'AIX Parms'!$E$8</definedName>
    <definedName name="AX_P_Max_Num_Procs">'AIX Parms'!$E$16</definedName>
    <definedName name="AX_P_Mem_Inc">'AIX Parms'!$E$26</definedName>
    <definedName name="AX_P_RAM_needed_by_WIQT_for_login_refresh">'AIX Parms'!$E$13</definedName>
    <definedName name="AX_P_RAM_needed_for_BusObj_BOL_refresh">'AIX Parms'!$E$11</definedName>
    <definedName name="AX_P_RAM_needed_for_login">'AIX Parms'!$E$10</definedName>
    <definedName name="AX_P_RAM_overhead_OS_WebI_core">'AIX Parms'!$E$9</definedName>
    <definedName name="B_Minimum_RAM_needed_per_server_BusObj_BOL">'BusObj &amp; WebI (Edit Create)'!$F$22</definedName>
    <definedName name="B_Minimum_RAM_needed_per_server_BusObj_BOL_lbl">'BusObj &amp; WebI (Edit Create)'!$B$22</definedName>
    <definedName name="B_Minimum_RAM_needed_per_server_WIQT">'BusObj &amp; WebI (Edit Create)'!$F$25</definedName>
    <definedName name="B_Number_of_BusObj_BOL_nodes">'BusObj &amp; WebI (Edit Create)'!$F$21</definedName>
    <definedName name="B_Number_of_CPUs_needed_for_BusObj_BOL">'BusObj &amp; WebI (Edit Create)'!$H$40</definedName>
    <definedName name="B_Number_of_CPUs_needed_for_WIQT">'BusObj &amp; WebI (Edit Create)'!$H$43</definedName>
    <definedName name="B_Number_of_CPUs_per_server_BusObj">'BusObj &amp; WebI (Edit Create)'!$F$23</definedName>
    <definedName name="B_Number_of_CPUs_per_server_WIQT">'BusObj &amp; WebI (Edit Create)'!$F$26</definedName>
    <definedName name="B_Number_of_CPUs_per_server_WIQT_lbl">'BusObj &amp; WebI (Edit Create)'!$B$26</definedName>
    <definedName name="B_Number_of_WIQT_nodes">'BusObj &amp; WebI (Edit Create)'!$F$24</definedName>
    <definedName name="B_Number_of_WIQT_nodes_lbl">'BusObj &amp; WebI (Edit Create)'!$B$24</definedName>
    <definedName name="B_One_Server">'BusObj &amp; WebI (Edit Create)'!$B$17</definedName>
    <definedName name="B_One_Server_Procs">'BusObj &amp; WebI (Edit Create)'!$B$19</definedName>
    <definedName name="B_One_Server_Procs_Num">'BusObj &amp; WebI (Edit Create)'!$F$19</definedName>
    <definedName name="B_One_Server_RAM">'BusObj &amp; WebI (Edit Create)'!$B$18</definedName>
    <definedName name="B_One_Server_RAM_Amount">'BusObj &amp; WebI (Edit Create)'!$F$18</definedName>
    <definedName name="B_Peak_number_of_active_users">'BusObj &amp; WebI (Edit Create)'!$F$33</definedName>
    <definedName name="B_Peak_number_of_BusObj_BOL_processes">'BusObj &amp; WebI (Edit Create)'!$H$39</definedName>
    <definedName name="B_Peak_number_of_busy_WIQTs">'BusObj &amp; WebI (Edit Create)'!$H$42</definedName>
    <definedName name="B_Peak_number_of_concurrent_users">'BusObj &amp; WebI (Edit Create)'!$F$34</definedName>
    <definedName name="B_Peak_percentage_of_active_users">'BusObj &amp; WebI (Edit Create)'!$H$7</definedName>
    <definedName name="B_Peak_percentage_of_concurrent_users">'BusObj &amp; WebI (Edit Create)'!$H$8</definedName>
    <definedName name="B_Percentage_of_users_with_just_InfoView">'BusObj &amp; WebI (Edit Create)'!$H$10</definedName>
    <definedName name="B_RAM_needed_for_BusObj_BOL">'BusObj &amp; WebI (Edit Create)'!$H$38</definedName>
    <definedName name="B_RAM_needed_for_WIQTs">'BusObj &amp; WebI (Edit Create)'!$H$41</definedName>
    <definedName name="B_Ratio_of_BusObj_reports_0_to_100">'BusObj &amp; WebI (Edit Create)'!$H$9</definedName>
    <definedName name="B_Recommended_configuration">'BusObj &amp; WebI (Edit Create)'!$B$14</definedName>
    <definedName name="B_Recommended_Suffix">'BusObj &amp; WebI (Edit Create)'!$C$14</definedName>
    <definedName name="B_Total_number_of_CPUs">'BusObj &amp; WebI (Edit Create)'!$H$45</definedName>
    <definedName name="B_Total_RAM_needed">'BusObj &amp; WebI (Edit Create)'!$H$44</definedName>
    <definedName name="B_Total_user_population">'BusObj &amp; WebI (Edit Create)'!$H$6</definedName>
    <definedName name="B_You_need_a_control_node">'BusObj &amp; WebI (Edit Create)'!$F$20</definedName>
    <definedName name="B_You_need_a_control_node_label">'BusObj &amp; WebI (Edit Create)'!$B$20</definedName>
    <definedName name="BW_N_O_S">'BusObj &amp; WebI (Edit Create)'!$B$15</definedName>
    <definedName name="D_Minimum_RAM_needed_per_server_BusObj_BOL">'Dashboard Mgr (End User)'!$F$40</definedName>
    <definedName name="D_Minimum_RAM_needed_per_server_WIQT">'Dashboard Mgr (End User)'!$F$43</definedName>
    <definedName name="D_Number_of_BusObj_BOL_nodes">'Dashboard Mgr (End User)'!$F$39</definedName>
    <definedName name="D_Number_of_CPUs_needed_for_BusObj_BOL">'Dashboard Mgr (End User)'!$H$62</definedName>
    <definedName name="D_Number_of_CPUs_needed_for_WIQT">'Dashboard Mgr (End User)'!$H$66</definedName>
    <definedName name="D_Number_of_CPUs_per_server_BusObj">'Dashboard Mgr (End User)'!$F$41</definedName>
    <definedName name="D_Number_of_CPUs_per_server_WIQT">'Dashboard Mgr (End User)'!$F$44</definedName>
    <definedName name="D_Number_of_WIQT_Nodes">'Dashboard Mgr (End User)'!$F$42</definedName>
    <definedName name="D_Peak_Number_of_Active_Users">'Dashboard Mgr (End User)'!$F$51</definedName>
    <definedName name="D_Peak_number_of_BusObj_BOL_processes">'Dashboard Mgr (End User)'!$H$61</definedName>
    <definedName name="D_Peak_number_of_busy_WIQTs">'Dashboard Mgr (End User)'!$H$65</definedName>
    <definedName name="D_Peak_number_of_concurrent_users">'Dashboard Mgr (End User)'!$F$52</definedName>
    <definedName name="D_Peak_percentage_of_active_users">'Dashboard Mgr (End User)'!$H$7</definedName>
    <definedName name="D_Peak_percentage_of_concurrent_users">'Dashboard Mgr (End User)'!$H$8</definedName>
    <definedName name="D_Percentage_of_users_with_just_InfoView">'Dashboard Mgr (End User)'!$H$9</definedName>
    <definedName name="D_RAM_needed_for_Analytics">'Dashboard Mgr (End User)'!$H$68</definedName>
    <definedName name="D_RAM_needed_for_BusObj_BOL">'Dashboard Mgr (End User)'!$H$59</definedName>
    <definedName name="D_RAM_needed_for_Login">'Dashboard Mgr (End User)'!$H$58</definedName>
    <definedName name="D_RAM_needed_for_WIQTs">'Dashboard Mgr (End User)'!$H$64</definedName>
    <definedName name="D_Ratio_of_BusObj_reports_0_to_100">'Dashboard Mgr (End User)'!#REF!</definedName>
    <definedName name="D_Recommended_Configuration">'Dashboard Mgr (End User)'!$B$32</definedName>
    <definedName name="D_Total_number_of_CPUs">'Dashboard Mgr (End User)'!$H$70</definedName>
    <definedName name="D_Total_RAM_needed">'Dashboard Mgr (End User)'!$H$69</definedName>
    <definedName name="D_Total_user_population">'Dashboard Mgr (End User)'!$H$6</definedName>
    <definedName name="D_You_need_a_control_node">'Dashboard Mgr (End User)'!$F$38</definedName>
    <definedName name="DM_AnalyticDB_AvgQtyAnalytics">'Dashboard Mgr (End User)'!$I$21</definedName>
    <definedName name="DM_AnalyticDB_AvgQtyBOReports">'Dashboard Mgr (End User)'!$I$19</definedName>
    <definedName name="DM_AnalyticDB_AvgQtyWIReports">'Dashboard Mgr (End User)'!$I$20</definedName>
    <definedName name="DM_AvgQty_AnlDB_Anls">'Dashboard Mgr (End User)'!$I$20</definedName>
    <definedName name="DM_AvgQty_AnlDB_BOReps">'Dashboard Mgr (End User)'!$I$18</definedName>
    <definedName name="DM_AvgQty_AnlDB_WIReps">'Dashboard Mgr (End User)'!$I$19</definedName>
    <definedName name="DM_AvgQty_RepDB_Anls">'Dashboard Mgr (End User)'!$I$25</definedName>
    <definedName name="DM_AvgQty_RepDB_BOReps">'Dashboard Mgr (End User)'!$I$23</definedName>
    <definedName name="DM_AvgQty_RepDB_WIReps">'Dashboard Mgr (End User)'!$I$24</definedName>
    <definedName name="DM_N_O_S">'Dashboard Mgr (End User)'!$B$32</definedName>
    <definedName name="DM_Pct_AnalyticDB_Users">'Dashboard Mgr (End User)'!$I$14</definedName>
    <definedName name="DM_Pct_ReportDB_Users">'Dashboard Mgr (End User)'!$I$15</definedName>
    <definedName name="DM_PctUsers_AnlDB">'Dashboard Mgr (End User)'!$I$13</definedName>
    <definedName name="DM_PctUsers_RepDB">'Dashboard Mgr (End User)'!$I$14</definedName>
    <definedName name="DM_Peak_BO_Documents">'Dashboard Mgr (End User)'!$H$60</definedName>
    <definedName name="DM_Peak_BO_Processes">'Dashboard Mgr (End User)'!$H$61</definedName>
    <definedName name="DM_Peak_number_BOReport_users">'Dashboard Mgr (End User)'!$B$53</definedName>
    <definedName name="DM_Peak_number_WIReport_users">'Dashboard Mgr (End User)'!$F$54</definedName>
    <definedName name="DM_Peak_WI_Documents">'Dashboard Mgr (End User)'!$H$63</definedName>
    <definedName name="DM_Peak_WIQTs">'Dashboard Mgr (End User)'!$H$65</definedName>
    <definedName name="DM_Percentage_Content_Refresh">'Dashboard Mgr (End User)'!$I$29</definedName>
    <definedName name="DM_Qty_BOReports_PerUser">'Dashboard Mgr (End User)'!$H$56</definedName>
    <definedName name="DM_ReportDB_AvgQtyAnalytics">'Dashboard Mgr (End User)'!$I$26</definedName>
    <definedName name="DM_ReportDB_AvgQtyBOReports">'Dashboard Mgr (End User)'!$I$24</definedName>
    <definedName name="DM_ReportDB_AvgQtyWIReports">'Dashboard Mgr (End User)'!$I$25</definedName>
    <definedName name="DM_Stuff">'Dashboard Mgr (End User)'!$H$56</definedName>
    <definedName name="DM_System_BOReports_Open">'Dashboard Mgr (End User)'!$H$60</definedName>
    <definedName name="DM_Total_user_population">'Dashboard Mgr (End User)'!$H$6</definedName>
    <definedName name="DW_N_O_S">'Dashboard Mgr (End User)'!$B$15</definedName>
    <definedName name="HP_CPU_Linearity">'HP Parms'!$E$15</definedName>
    <definedName name="HP_P_Max_nb_of_BusObj_per_processor">'HP Parms'!$E$7</definedName>
    <definedName name="HP_P_Max_nb_of_WIQT_per_CPU">'HP Parms'!$E$8</definedName>
    <definedName name="HP_P_Max_Num_Procs">'HP Parms'!$E$16</definedName>
    <definedName name="HP_P_Mem_Inc">'HP Parms'!$E$26</definedName>
    <definedName name="HP_P_Node_HiWater">'HP Parms'!$E$29</definedName>
    <definedName name="HP_P_RAM_needed_by_WIQT_for_login_refresh">'HP Parms'!$E$13</definedName>
    <definedName name="HP_P_RAM_needed_for_BusObj_BOL_refresh">'HP Parms'!$E$11</definedName>
    <definedName name="HP_P_RAM_needed_for_login">'HP Parms'!$E$10</definedName>
    <definedName name="HP_P_RAM_overhead_OS_WebI_core">'HP Parms'!$E$9</definedName>
    <definedName name="I_Minimum_RAM_needed_per_server_BusObj_BOL">'InfoView (Read Refresh)'!$F$23</definedName>
    <definedName name="I_Minimum_RAM_needed_per_server_BusObj_BOL_lbl">'InfoView (Read Refresh)'!$B$23</definedName>
    <definedName name="I_Minimum_RAM_needed_per_server_WIQT">'InfoView (Read Refresh)'!$F$26</definedName>
    <definedName name="I_Minimum_RAM_needed_per_server_WIQT_lbl">'InfoView (Read Refresh)'!$B$26</definedName>
    <definedName name="I_Number_of_BusObj_BOL_nodes">'InfoView (Read Refresh)'!$F$22</definedName>
    <definedName name="I_Number_of_BusObj_BOL_nodes_lbl">'InfoView (Read Refresh)'!$B$22</definedName>
    <definedName name="I_Number_of_CPUs_needed_for_BusObj_BOL">'InfoView (Read Refresh)'!$H$40</definedName>
    <definedName name="I_Number_of_CPUs_needed_for_WIQT">'InfoView (Read Refresh)'!$H$43</definedName>
    <definedName name="I_Number_of_CPUs_per_server_BusObj">'InfoView (Read Refresh)'!$F$24</definedName>
    <definedName name="I_Number_of_CPUs_per_server_BusObj_lbl">'InfoView (Read Refresh)'!$B$24</definedName>
    <definedName name="I_Number_of_CPUs_per_server_WIQT">'InfoView (Read Refresh)'!$F$27</definedName>
    <definedName name="I_Number_of_CPUs_per_server_WIQT_lbl">'InfoView (Read Refresh)'!$B$27</definedName>
    <definedName name="I_Number_of_WIQT_nodes">'InfoView (Read Refresh)'!$F$25</definedName>
    <definedName name="I_Number_of_WIQT_nodes_lbl">'InfoView (Read Refresh)'!$B$25</definedName>
    <definedName name="I_One_Server">'InfoView (Read Refresh)'!$B$18</definedName>
    <definedName name="I_One_Server_Procs_Num">'InfoView (Read Refresh)'!$F$20</definedName>
    <definedName name="I_One_Server_RAM_Amount">'InfoView (Read Refresh)'!$F$19</definedName>
    <definedName name="I_One_Server_RAM_Amount_lbl">'InfoView (Read Refresh)'!$B$19</definedName>
    <definedName name="I_Peak_number_of_active_users">'InfoView (Read Refresh)'!$F$33</definedName>
    <definedName name="I_Peak_number_of_BusObj_BOL_processes">'InfoView (Read Refresh)'!$H$39</definedName>
    <definedName name="I_Peak_number_of_busy_WIQTs">'InfoView (Read Refresh)'!$H$42</definedName>
    <definedName name="I_Peak_number_of_concurrent_users">'InfoView (Read Refresh)'!$F$34</definedName>
    <definedName name="I_Peak_percentage_of_active_users">'InfoView (Read Refresh)'!$H$8</definedName>
    <definedName name="I_Peak_percentage_of_concurrent_users">'InfoView (Read Refresh)'!$H$9</definedName>
    <definedName name="I_Percentage_of_users_with_just_InfoView">'InfoView (Read Refresh)'!$H$11</definedName>
    <definedName name="I_RAM_needed_for_BusObj_BOL">'InfoView (Read Refresh)'!$H$38</definedName>
    <definedName name="I_RAM_needed_for_WIQTs">'InfoView (Read Refresh)'!$H$41</definedName>
    <definedName name="I_Ratio_of_BusObj_reports_0_to_100">'InfoView (Read Refresh)'!$H$10</definedName>
    <definedName name="I_Recommend_configuration_lbl">'InfoView (Read Refresh)'!$C$15</definedName>
    <definedName name="I_Recommended_configuration">'InfoView (Read Refresh)'!$B$15</definedName>
    <definedName name="I_Total_number_of_CPUs">'InfoView (Read Refresh)'!$H$45</definedName>
    <definedName name="I_Total_RAM_needed">'InfoView (Read Refresh)'!$H$44</definedName>
    <definedName name="I_Total_user_population">'InfoView (Read Refresh)'!$H$7</definedName>
    <definedName name="I_You_need_a_control_node">'InfoView (Read Refresh)'!$F$21</definedName>
    <definedName name="I_You_need_a_control_node_lbl">'InfoView (Read Refresh)'!$B$21</definedName>
    <definedName name="IW_N_O_S">'InfoView (Read Refresh)'!$B$16</definedName>
    <definedName name="P_Amount_of_RAM_per_server" localSheetId="9">'HP Parms'!#REF!</definedName>
    <definedName name="P_Amount_of_RAM_per_server">'Parameters'!$E$7</definedName>
    <definedName name="P_Do_you_want_a_control_node" localSheetId="9">'HP Parms'!#REF!</definedName>
    <definedName name="P_Do_you_want_a_control_node">'Parameters'!$E$13</definedName>
    <definedName name="P_Max_nb_of_BusObj_per_processor" localSheetId="9">'HP Parms'!$E$7</definedName>
    <definedName name="P_Max_nb_of_BusObj_per_processor">'Parameters'!$E$16</definedName>
    <definedName name="P_Max_nb_of_WIQT_per_CPU" localSheetId="9">'HP Parms'!$E$8</definedName>
    <definedName name="P_Max_nb_of_WIQT_per_CPU">'Parameters'!$E$17</definedName>
    <definedName name="P_Max_Num_Proc">'Parameters'!$E$26</definedName>
    <definedName name="P_Mem_Inc" localSheetId="9">'HP Parms'!$E$26</definedName>
    <definedName name="P_Mem_Inc">'Parameters'!$E$36</definedName>
    <definedName name="P_Nb_of_CPU_per_server" localSheetId="9">'HP Parms'!#REF!</definedName>
    <definedName name="P_Nb_of_CPU_per_server">'Parameters'!$E$6</definedName>
    <definedName name="P_Node_HiWater" localSheetId="9">'HP Parms'!$E$29</definedName>
    <definedName name="P_Node_HiWater">'Parameters'!$E$39</definedName>
    <definedName name="P_RAM_needed_by_WIQT_for_login_refresh" localSheetId="9">'HP Parms'!$E$13</definedName>
    <definedName name="P_RAM_needed_by_WIQT_for_login_refresh">'Parameters'!$E$22</definedName>
    <definedName name="P_RAM_needed_for_BusObj_BOL_refresh" localSheetId="9">'HP Parms'!$E$11</definedName>
    <definedName name="P_RAM_needed_for_BusObj_BOL_refresh">'Parameters'!$E$20</definedName>
    <definedName name="P_RAM_needed_for_login" localSheetId="9">'HP Parms'!$E$10</definedName>
    <definedName name="P_RAM_needed_for_login">'Parameters'!$E$19</definedName>
    <definedName name="P_RAM_overhead_OS_WebI_core" localSheetId="9">'HP Parms'!$E$9</definedName>
    <definedName name="P_RAM_overhead_OS_WebI_core">'Parameters'!$E$18</definedName>
    <definedName name="P_Target_OS">'Parameters'!$E$10</definedName>
    <definedName name="SN_CPU_Linearity">'Sun Parms'!$E$15</definedName>
    <definedName name="SN_P_Max_nb_of_BusObj_per_processor">'Sun Parms'!$E$7</definedName>
    <definedName name="SN_P_Max_nb_of_WIQT_per_CPU">'Sun Parms'!$E$8</definedName>
    <definedName name="SN_P_Max_Num_Procs">'Sun Parms'!$E$16</definedName>
    <definedName name="SN_P_Mem_Inc">'Sun Parms'!$E$26</definedName>
    <definedName name="SN_P_Node_HiWater">'Sun Parms'!$E$29</definedName>
    <definedName name="SN_P_RAM_needed_by_WIQT_for_login_refresh">'Sun Parms'!$E$13</definedName>
    <definedName name="SN_P_RAM_needed_for_BusObj_BOL_refresh">'Sun Parms'!$E$11</definedName>
    <definedName name="SN_P_RAM_needed_for_login">'Sun Parms'!$E$10</definedName>
    <definedName name="SN_P_RAM_overhead_OS_WebI_core">'Sun Parms'!$E$9</definedName>
    <definedName name="WN_CPU_Linearity">'W2K Parms'!$E$15</definedName>
    <definedName name="WN_Node_HiWater">'W2K Parms'!$E$29</definedName>
    <definedName name="WN_P_Max_nb_of_BusObj_per_processor">'W2K Parms'!$E$7</definedName>
    <definedName name="WN_P_Max_nb_of_WIQT_per_CPU">'W2K Parms'!$E$8</definedName>
    <definedName name="WN_P_Max_Num_Procs">'W2K Parms'!$E$16</definedName>
    <definedName name="WN_P_Mem_Inc">'W2K Parms'!$E$26</definedName>
    <definedName name="WN_P_RAM_needed_by_WIQT_for_login_refresh">'W2K Parms'!$E$13</definedName>
    <definedName name="WN_P_RAM_needed_for_BusObj_BOL_refresh">'W2K Parms'!$E$11</definedName>
    <definedName name="WN_P_RAM_needed_for_login">'W2K Parms'!$E$10</definedName>
    <definedName name="WN_P_RAM_overhead_OS_WebI_core">'W2K Parms'!$E$9</definedName>
  </definedNames>
  <calcPr fullCalcOnLoad="1"/>
</workbook>
</file>

<file path=xl/comments10.xml><?xml version="1.0" encoding="utf-8"?>
<comments xmlns="http://schemas.openxmlformats.org/spreadsheetml/2006/main">
  <authors>
    <author>Tom Turchioe</author>
  </authors>
  <commentList>
    <comment ref="B15" authorId="0">
      <text>
        <r>
          <rPr>
            <sz val="8"/>
            <rFont val="Tahoma"/>
            <family val="0"/>
          </rPr>
          <t>This accounts for lack of linearity as CPUs are added.  That is # of procs possible at 4 CPUs will not double at 8 CPUs.  This % represents the % gain in scalability, not what is lost.</t>
        </r>
      </text>
    </comment>
  </commentList>
</comments>
</file>

<file path=xl/comments3.xml><?xml version="1.0" encoding="utf-8"?>
<comments xmlns="http://schemas.openxmlformats.org/spreadsheetml/2006/main">
  <authors>
    <author>Frank Prabel</author>
    <author>JMURRAY</author>
  </authors>
  <commentList>
    <comment ref="B10" authorId="0">
      <text>
        <r>
          <rPr>
            <b/>
            <sz val="8"/>
            <color indexed="8"/>
            <rFont val="Tahoma"/>
            <family val="2"/>
          </rPr>
          <t>JMurray:</t>
        </r>
        <r>
          <rPr>
            <sz val="8"/>
            <color indexed="8"/>
            <rFont val="Tahoma"/>
            <family val="0"/>
          </rPr>
          <t xml:space="preserve">
Many customers have a mix of reports built using WebIntelligence and BusinessObjects (Full Client or F/C). This cell allows you to specify what percentage of the reports were built with F/C. If you have 0% then all your reports were built using WebIntelligence.
Example:
If 15 of the 100 reports you have in your corporate document list are F/C reports  then enter 15% here.  If you know that these reports are used a lot more than the thin-client reports you may want to bump this number up.</t>
        </r>
      </text>
    </comment>
    <comment ref="B12" authorId="1">
      <text>
        <r>
          <rPr>
            <b/>
            <sz val="8"/>
            <color indexed="8"/>
            <rFont val="Tahoma"/>
            <family val="0"/>
          </rPr>
          <t>JMURRAY:</t>
        </r>
        <r>
          <rPr>
            <sz val="8"/>
            <color indexed="8"/>
            <rFont val="Tahoma"/>
            <family val="0"/>
          </rPr>
          <t xml:space="preserve">
This will only impact sizing if users are accessing full-client reports.   Generally speaking only power users are given the ability to create/edit BusinessObjects reports.   If you want to edit or create reports with BusinessObjects you need a BusinessObjects license.    If they have E6 running on the client the BusObj process is pushed down to the desktop or laptop when they edit or create a report.
</t>
        </r>
      </text>
    </comment>
    <comment ref="B19" authorId="1">
      <text>
        <r>
          <rPr>
            <sz val="8"/>
            <color indexed="8"/>
            <rFont val="Tahoma"/>
            <family val="0"/>
          </rPr>
          <t xml:space="preserve">
Once you need 3 or more servers we suggest you dedicate one server to handling the incoming requests as a Web/App Server (e.g., this node does not run any processing)
</t>
        </r>
      </text>
    </comment>
    <comment ref="B21" authorId="0">
      <text>
        <r>
          <rPr>
            <b/>
            <sz val="8"/>
            <color indexed="8"/>
            <rFont val="Tahoma"/>
            <family val="2"/>
          </rPr>
          <t>Web/App Server:</t>
        </r>
        <r>
          <rPr>
            <sz val="8"/>
            <color indexed="8"/>
            <rFont val="Tahoma"/>
            <family val="0"/>
          </rPr>
          <t xml:space="preserve">
This was called a Control Node in V5.
When multiple servers are needed, this node hosts the HTTP server and also serves as the Primary Node. Must be a powerful machine. If you are using UNIX you will probably not have a clustered solution so you will not want a Web/App Server.   On the parameter's page if you put in No to a this node type then the Web/App Server line here will not appear.</t>
        </r>
      </text>
    </comment>
    <comment ref="B22" authorId="1">
      <text>
        <r>
          <rPr>
            <sz val="8"/>
            <color indexed="8"/>
            <rFont val="Tahoma"/>
            <family val="0"/>
          </rPr>
          <t xml:space="preserve">
This field  does two things: it compares what you need for RAM and what you need for CPU and makes sure the highest answer is provided. Basically if your RAM needs are higher than the total RAM available on the # of servers suggested based on the number of CPUs you need it adds in another server to makes sure RAM is not a bottleneck...and vice versa.
</t>
        </r>
        <r>
          <rPr>
            <b/>
            <sz val="8"/>
            <color indexed="8"/>
            <rFont val="Tahoma"/>
            <family val="2"/>
          </rPr>
          <t>Example:</t>
        </r>
        <r>
          <rPr>
            <sz val="8"/>
            <color indexed="8"/>
            <rFont val="Tahoma"/>
            <family val="0"/>
          </rPr>
          <t xml:space="preserve">
If the ram needed for your BusObj/BOL is 1260 and you need 4 CPUs (I'm looking at the calcuation area to get this info) then this formula looks at the parameters you set to figure out how many servers you need to meet these needs.   If you set the servers have 4 CPUs but only 1024 GB of Ram it will tell you you need 2 servers in this cell...to meet your requirements. FYI - generally a 4 CPU machine can fit 4 GB of RAM so it would be unusual to have the above server configuration)
If you went back and added another GB of RAM to the parameters sheet then you would only need 1 server.</t>
        </r>
      </text>
    </comment>
    <comment ref="B23" authorId="0">
      <text>
        <r>
          <rPr>
            <sz val="8"/>
            <color indexed="8"/>
            <rFont val="Tahoma"/>
            <family val="0"/>
          </rPr>
          <t>This cell is telling you how much RAM you need to have as a minimum for the servers suggested. More RAM is always better. The absolute minimum is 512 Kb.</t>
        </r>
      </text>
    </comment>
    <comment ref="B24" authorId="0">
      <text>
        <r>
          <rPr>
            <sz val="8"/>
            <color indexed="8"/>
            <rFont val="Tahoma"/>
            <family val="2"/>
          </rPr>
          <t>1 CPU will never be recommended. 
On W2K or Data Center up to 32
On Unix  2, 4, 8, 16…up to 64 on an E10,000 Sun Solaris server but we recommend nodes with no more than 16 CPUs</t>
        </r>
      </text>
    </comment>
    <comment ref="B25" authorId="1">
      <text>
        <r>
          <rPr>
            <sz val="8"/>
            <color indexed="8"/>
            <rFont val="Tahoma"/>
            <family val="0"/>
          </rPr>
          <t>This cell does two things: it compares what you need for RAM and what you need for CPU and makes sure the highest answer is provided. Basically it computes what you need and if your RAM needs are higher than the total RAM available on the # of servers suggested it adds in another server to makes sure RAM is not a bottleneck...and vice versa.</t>
        </r>
      </text>
    </comment>
    <comment ref="B26" authorId="1">
      <text>
        <r>
          <rPr>
            <sz val="8"/>
            <color indexed="8"/>
            <rFont val="Tahoma"/>
            <family val="0"/>
          </rPr>
          <t>This cell is telling you how much RAM you need to have as a minimum for the servers suggested. More RAM is always better. The absolute minimum is 512 Kb.</t>
        </r>
      </text>
    </comment>
    <comment ref="B27" authorId="0">
      <text>
        <r>
          <rPr>
            <sz val="8"/>
            <color indexed="8"/>
            <rFont val="Tahoma"/>
            <family val="0"/>
          </rPr>
          <t>1 CPU will never be recommended. 
On W2K or Data Center up to 32
On Unix  2, 4, 8, 16…up to 64 on an E10,000 Sun Solaris server but we recommend nodes with no more than 16 CPUs</t>
        </r>
      </text>
    </comment>
    <comment ref="B40" authorId="0">
      <text>
        <r>
          <rPr>
            <sz val="8"/>
            <color indexed="8"/>
            <rFont val="Tahoma"/>
            <family val="0"/>
          </rPr>
          <t>Number of CPUs needed to handle busy BusObj/BOL is the peak number of processes needed divided by the Max number of WIQT per CPU  on the parameter sheet. Please check Parameters tab to see the number of BusObj processes per processor.</t>
        </r>
      </text>
    </comment>
    <comment ref="B41" authorId="0">
      <text>
        <r>
          <rPr>
            <sz val="8"/>
            <color indexed="8"/>
            <rFont val="Tahoma"/>
            <family val="0"/>
          </rPr>
          <t>Sum of RAM needed for WIQTs busy for a login and RAM needed for WIQTs busy doing a refresh. This formula multiplies the number of users (active and concurrent) * the amount of RAM required (as enterd in the Parameters sheet .
Please look at the formula bar for more details.
If E6 (full-client reports) are being used there are additional WIQTs launched for concurrent users which this formula takes into account.</t>
        </r>
      </text>
    </comment>
    <comment ref="B42" authorId="0">
      <text>
        <r>
          <rPr>
            <sz val="8"/>
            <color indexed="8"/>
            <rFont val="Tahoma"/>
            <family val="0"/>
          </rPr>
          <t>WIQTs used for login are not busy. We only consider WIQTs used for open or refresh. If E6 (full-client reports) are being used there are additional WIQTs launched for concurrent users which this formula takes into account.</t>
        </r>
      </text>
    </comment>
    <comment ref="B43" authorId="1">
      <text>
        <r>
          <rPr>
            <sz val="8"/>
            <color indexed="8"/>
            <rFont val="Tahoma"/>
            <family val="2"/>
          </rPr>
          <t xml:space="preserve">Number of CPUs needed to handle busy WIQTs. This number is the Peak number of busy WIQTs/Max number of WIQT per CPU  on the parameter sheet.
</t>
        </r>
        <r>
          <rPr>
            <sz val="8"/>
            <color indexed="8"/>
            <rFont val="Tahoma"/>
            <family val="0"/>
          </rPr>
          <t xml:space="preserve">
If E6 (full-client reports) are being used there are additional WIQTs launched for concurrent users which this formula takes into account.</t>
        </r>
      </text>
    </comment>
    <comment ref="B33" authorId="1">
      <text>
        <r>
          <rPr>
            <sz val="8"/>
            <color indexed="8"/>
            <rFont val="Tahoma"/>
            <family val="0"/>
          </rPr>
          <t>This number tells you the number of users that the % of active users equals out to. 
It will change to reflect the total user population and % of active users you are estimating.</t>
        </r>
      </text>
    </comment>
    <comment ref="B34" authorId="1">
      <text>
        <r>
          <rPr>
            <sz val="8"/>
            <color indexed="8"/>
            <rFont val="Tahoma"/>
            <family val="0"/>
          </rPr>
          <t>This number tells you the number of users the % of concurrent users equals out to.</t>
        </r>
      </text>
    </comment>
    <comment ref="B16" authorId="1">
      <text>
        <r>
          <rPr>
            <sz val="8"/>
            <color indexed="8"/>
            <rFont val="Tahoma"/>
            <family val="0"/>
          </rPr>
          <t xml:space="preserve">
Suggest dedicating a server to WebI processing and another server to BusinessObjects processing (or run both on both machines for failover). If, however, you have a budget limit you could start this configuration on just one server.</t>
        </r>
      </text>
    </comment>
    <comment ref="B8" authorId="0">
      <text>
        <r>
          <rPr>
            <sz val="8"/>
            <color indexed="8"/>
            <rFont val="Tahoma"/>
            <family val="0"/>
          </rPr>
          <t>Percentage of users who are logged at the same time</t>
        </r>
      </text>
    </comment>
    <comment ref="B9" authorId="0">
      <text>
        <r>
          <rPr>
            <sz val="8"/>
            <color indexed="8"/>
            <rFont val="Tahoma"/>
            <family val="0"/>
          </rPr>
          <t>Percentage of users who refresh reports at the same time</t>
        </r>
      </text>
    </comment>
  </commentList>
</comments>
</file>

<file path=xl/comments4.xml><?xml version="1.0" encoding="utf-8"?>
<comments xmlns="http://schemas.openxmlformats.org/spreadsheetml/2006/main">
  <authors>
    <author>Frank Prabel</author>
    <author>JMURRAY</author>
  </authors>
  <commentList>
    <comment ref="B7" authorId="0">
      <text>
        <r>
          <rPr>
            <sz val="8"/>
            <color indexed="8"/>
            <rFont val="Tahoma"/>
            <family val="0"/>
          </rPr>
          <t>Percentage of users who are logged at the same time</t>
        </r>
      </text>
    </comment>
    <comment ref="B8" authorId="0">
      <text>
        <r>
          <rPr>
            <sz val="8"/>
            <color indexed="8"/>
            <rFont val="Tahoma"/>
            <family val="0"/>
          </rPr>
          <t>Percentage of users who refresh reports at the same time</t>
        </r>
      </text>
    </comment>
    <comment ref="B9" authorId="0">
      <text>
        <r>
          <rPr>
            <sz val="8"/>
            <color indexed="8"/>
            <rFont val="Tahoma"/>
            <family val="0"/>
          </rPr>
          <t>Many customers have a mix of reports built using WebIntelligence and BusinessObjects. This cell allows you to specify what percentage of the reports were built with BusinessObjects. If you have 0% then all your reports were built using WebIntelligence.
Example:
If 15 of the 100 reports you have in your corporate document list are full-client reports (built using BusinessObjects) then enter 15% here.   If you know that these reports are used a lot more than the thin-client reports you may want to bump this number up.</t>
        </r>
      </text>
    </comment>
    <comment ref="B10" authorId="1">
      <text>
        <r>
          <rPr>
            <sz val="8"/>
            <color indexed="8"/>
            <rFont val="Tahoma"/>
            <family val="0"/>
          </rPr>
          <t xml:space="preserve">This will only impact sizing if users are accessing full-client reports.
Generally speaking only power users are given the ability to create/edit BusinessObjects reports.  If you want to edit or create reports with BusinessObjects you need a BusinessObjects license.   If they have E6 running on the client the BusObj process is pushed down to the desktop or laptop when they edit or create a report.
</t>
        </r>
      </text>
    </comment>
    <comment ref="B33" authorId="1">
      <text>
        <r>
          <rPr>
            <b/>
            <sz val="8"/>
            <color indexed="8"/>
            <rFont val="Tahoma"/>
            <family val="0"/>
          </rPr>
          <t>JMURRAY:</t>
        </r>
        <r>
          <rPr>
            <sz val="8"/>
            <color indexed="8"/>
            <rFont val="Tahoma"/>
            <family val="0"/>
          </rPr>
          <t xml:space="preserve">
This number tells you the number of users that the % of active users equals out to. Active users are users who are logged into InfoView but not necessarily using RAM or CPU.
It will change to reflect the total user population and % of active users you are estimating.</t>
        </r>
      </text>
    </comment>
    <comment ref="B34" authorId="1">
      <text>
        <r>
          <rPr>
            <b/>
            <sz val="8"/>
            <color indexed="8"/>
            <rFont val="Tahoma"/>
            <family val="0"/>
          </rPr>
          <t>JMURRAY:</t>
        </r>
        <r>
          <rPr>
            <sz val="8"/>
            <color indexed="8"/>
            <rFont val="Tahoma"/>
            <family val="0"/>
          </rPr>
          <t xml:space="preserve">
This number tells you the number of users the % of concurrent users equals out to.</t>
        </r>
      </text>
    </comment>
    <comment ref="B40" authorId="0">
      <text>
        <r>
          <rPr>
            <b/>
            <sz val="8"/>
            <color indexed="8"/>
            <rFont val="Tahoma"/>
            <family val="2"/>
          </rPr>
          <t>JMurray:</t>
        </r>
        <r>
          <rPr>
            <sz val="8"/>
            <color indexed="8"/>
            <rFont val="Tahoma"/>
            <family val="0"/>
          </rPr>
          <t xml:space="preserve">
Nb of CPUs needed to handle busy BusObj/BOL is the peak number of processes needed divided by the Max nb of WIQT per CPU (cell E18) on the parameter sheet. Please check Parameters tab to see the number of BusObj processes per processor.</t>
        </r>
      </text>
    </comment>
    <comment ref="B41" authorId="0">
      <text>
        <r>
          <rPr>
            <b/>
            <sz val="8"/>
            <color indexed="8"/>
            <rFont val="Tahoma"/>
            <family val="2"/>
          </rPr>
          <t>JMurray:</t>
        </r>
        <r>
          <rPr>
            <sz val="8"/>
            <color indexed="8"/>
            <rFont val="Tahoma"/>
            <family val="0"/>
          </rPr>
          <t xml:space="preserve">
Sum of RAM needed for WIQTs busy for a login and RAM needed for WIQTs busy doing a refresh. This formula multiplies the number of users (active and concurrent) * the amount of RAM required (as enterd in the Parameters sheet (cells E20 and E23).
Please look at the formula bar for a more details.
If E6 (full-client reports) are being used there are additional WIQTs launched for concurrent users which this formula takes into account.</t>
        </r>
      </text>
    </comment>
    <comment ref="B42" authorId="0">
      <text>
        <r>
          <rPr>
            <b/>
            <sz val="8"/>
            <color indexed="8"/>
            <rFont val="Tahoma"/>
            <family val="0"/>
          </rPr>
          <t>Busy WIQTs</t>
        </r>
        <r>
          <rPr>
            <sz val="8"/>
            <color indexed="8"/>
            <rFont val="Tahoma"/>
            <family val="0"/>
          </rPr>
          <t xml:space="preserve">
WIQTs used for login are not busy. We only consider WIQTs used for open or refresh. If E6 (full-client reports) are being used there are additional WIQTs launched for concurrent users which this formula takes into account.</t>
        </r>
      </text>
    </comment>
    <comment ref="B43" authorId="1">
      <text>
        <r>
          <rPr>
            <b/>
            <sz val="8"/>
            <color indexed="8"/>
            <rFont val="Tahoma"/>
            <family val="0"/>
          </rPr>
          <t xml:space="preserve">JMURRAY:
</t>
        </r>
        <r>
          <rPr>
            <sz val="8"/>
            <color indexed="8"/>
            <rFont val="Tahoma"/>
            <family val="2"/>
          </rPr>
          <t xml:space="preserve">Number of CPUs needed to handle busy WIQTs. This number is the Peak number of busy WIQTs/Max number of WIQT per CPU (cell E18) on the parameter sheet.
</t>
        </r>
        <r>
          <rPr>
            <sz val="8"/>
            <color indexed="8"/>
            <rFont val="Tahoma"/>
            <family val="0"/>
          </rPr>
          <t xml:space="preserve">
If E6 (full-client reports) are being used there are additional WIQTs launched for concurrent users which this formula takes into account.</t>
        </r>
      </text>
    </comment>
    <comment ref="B20" authorId="0">
      <text>
        <r>
          <rPr>
            <b/>
            <sz val="8"/>
            <color indexed="8"/>
            <rFont val="Tahoma"/>
            <family val="2"/>
          </rPr>
          <t xml:space="preserve">Web/App Server:
</t>
        </r>
        <r>
          <rPr>
            <sz val="8"/>
            <color indexed="8"/>
            <rFont val="Tahoma"/>
            <family val="2"/>
          </rPr>
          <t>This was called a Control Node in V5.
When multiple servers are needed, this node hosts the HTTP server and also serves as the Primary Node. Must be a powerful machine. If you are using UNIX you will probably not have a clustered solution so you will not want a Web/App Server.   On the parameter's page if you put in No to a this node type then the Web/App Server line here will not appear.</t>
        </r>
      </text>
    </comment>
    <comment ref="B21" authorId="1">
      <text>
        <r>
          <rPr>
            <sz val="8"/>
            <color indexed="8"/>
            <rFont val="Tahoma"/>
            <family val="0"/>
          </rPr>
          <t>This cell does two things: it compares what you need for RAM and what you need for CPU and makes sure the highest answer is provided. Basically if your RAM needs are higher than the total RAM available on the # of servers suggested based on the number of CPUs you need it adds in another server to makes sure RAM is not a bottleneck...and vice versa.
Example:
If the ram needed for your BusObj/BOL is 1260 and you need 4 CPUs (I'm looking at the calcuation area to get this info) then this formula looks at the parameters you set to figure out how many servers you need to meet these needs.   If you set the servers have 4 CPUs but only 1024 GB of Ram it will tell you you need 2 servers in this cell...to meet your requirements. FYI - generally a 4 CPU machine can fit 4 GB of RAM so it would be unusual to have the above server configuration)
If you went back and added another GB of RAM to the parameters sheer then you would only need 1 server.</t>
        </r>
      </text>
    </comment>
    <comment ref="B22" authorId="0">
      <text>
        <r>
          <rPr>
            <sz val="8"/>
            <color indexed="8"/>
            <rFont val="Tahoma"/>
            <family val="0"/>
          </rPr>
          <t>This cell is telling you how much RAM you need to have as a minimum for the servers suggested. More RAM is always better. The absolute minimum is 512 Kb.</t>
        </r>
      </text>
    </comment>
    <comment ref="B23" authorId="0">
      <text>
        <r>
          <rPr>
            <sz val="8"/>
            <color indexed="8"/>
            <rFont val="Tahoma"/>
            <family val="2"/>
          </rPr>
          <t>1 CPU will never be recommended. 
On W2K or Data Center up to 32
On Unix  2, 4, 8, 16…up to 64 on an E10,000 Sun Solaris server but we recommend nodes with no more than 16 CPUs</t>
        </r>
      </text>
    </comment>
    <comment ref="B24" authorId="1">
      <text>
        <r>
          <rPr>
            <sz val="8"/>
            <color indexed="8"/>
            <rFont val="Tahoma"/>
            <family val="0"/>
          </rPr>
          <t>This cell does two things: it compares what you need for RAM and what you need for CPU and makes sure the highest answer is provided. Basically it computes what you need and if your RAM needs are higher than the total RAM available on the # of servers suggested it adds in another server to makes sure RAM is not a bottleneck...and vice versa.</t>
        </r>
      </text>
    </comment>
    <comment ref="B25" authorId="1">
      <text>
        <r>
          <rPr>
            <sz val="8"/>
            <color indexed="8"/>
            <rFont val="Tahoma"/>
            <family val="0"/>
          </rPr>
          <t>This cell is telling you how much RAM you need to have as a minimum for the servers suggested. More RAM is always better. The absolute minimum is 512 Kb.</t>
        </r>
      </text>
    </comment>
    <comment ref="B26" authorId="0">
      <text>
        <r>
          <rPr>
            <sz val="8"/>
            <color indexed="8"/>
            <rFont val="Tahoma"/>
            <family val="0"/>
          </rPr>
          <t>1 CPU will never be recommended. 
On W2K or Data Center up to 32
On Unix  2, 4, 8, 16…up to 64 on an E10,000 Sun Solaris server but we recommend nodes with no more than 16 CPUs</t>
        </r>
      </text>
    </comment>
    <comment ref="B15" authorId="1">
      <text>
        <r>
          <rPr>
            <sz val="8"/>
            <rFont val="Tahoma"/>
            <family val="0"/>
          </rPr>
          <t>Suggest dedicating a server to WebI processing and another server to BusinessObjects processing (or run both on both machines for failover). If, however, you have a budget limit you could start this configuration on just one server.</t>
        </r>
      </text>
    </comment>
  </commentList>
</comments>
</file>

<file path=xl/comments5.xml><?xml version="1.0" encoding="utf-8"?>
<comments xmlns="http://schemas.openxmlformats.org/spreadsheetml/2006/main">
  <authors>
    <author>Frank Prabel</author>
    <author>JMURRAY</author>
    <author>jcunning</author>
  </authors>
  <commentList>
    <comment ref="B7" authorId="0">
      <text>
        <r>
          <rPr>
            <sz val="8"/>
            <color indexed="8"/>
            <rFont val="Tahoma"/>
            <family val="0"/>
          </rPr>
          <t>Percentage of users who are logged at the same time</t>
        </r>
      </text>
    </comment>
    <comment ref="B8" authorId="0">
      <text>
        <r>
          <rPr>
            <sz val="8"/>
            <color indexed="8"/>
            <rFont val="Tahoma"/>
            <family val="0"/>
          </rPr>
          <t>Percentage of users who refresh reports at the same time</t>
        </r>
      </text>
    </comment>
    <comment ref="B9" authorId="1">
      <text>
        <r>
          <rPr>
            <b/>
            <sz val="8"/>
            <color indexed="8"/>
            <rFont val="Tahoma"/>
            <family val="0"/>
          </rPr>
          <t>JMURRAY:</t>
        </r>
        <r>
          <rPr>
            <sz val="8"/>
            <color indexed="8"/>
            <rFont val="Tahoma"/>
            <family val="0"/>
          </rPr>
          <t xml:space="preserve">
This will only impact sizing if users are accessing full-client reports.
Generally speaking only power users are given the ability to create/edit BusinessObjects reports.  If you want to edit or create reports with BusinessObjects you need a BusinessObjects license.   If they have E6 running on the client the BusObj process is pushed down to the desktop or laptop when they edit or create a report.
</t>
        </r>
      </text>
    </comment>
    <comment ref="C32" authorId="2">
      <text>
        <r>
          <rPr>
            <sz val="8"/>
            <rFont val="Tahoma"/>
            <family val="0"/>
          </rPr>
          <t xml:space="preserve">In Dashboard Manager, multi-server deployments are best managed in Multi-Cluster server farms.  This is first officially supported in release 6.5.  </t>
        </r>
      </text>
    </comment>
  </commentList>
</comments>
</file>

<file path=xl/comments7.xml><?xml version="1.0" encoding="utf-8"?>
<comments xmlns="http://schemas.openxmlformats.org/spreadsheetml/2006/main">
  <authors>
    <author>Tom Turchioe</author>
  </authors>
  <commentList>
    <comment ref="B15" authorId="0">
      <text>
        <r>
          <rPr>
            <sz val="8"/>
            <rFont val="Tahoma"/>
            <family val="0"/>
          </rPr>
          <t>This accounts for lack of linearity as CPUs are added.  That is # of procs possible at 4 CPUs will not double at 8 CPUs.  This % represents the % gain in scalability, not what is lost.</t>
        </r>
      </text>
    </comment>
  </commentList>
</comments>
</file>

<file path=xl/comments8.xml><?xml version="1.0" encoding="utf-8"?>
<comments xmlns="http://schemas.openxmlformats.org/spreadsheetml/2006/main">
  <authors>
    <author>JMURRAY</author>
    <author>Tom Turchioe</author>
  </authors>
  <commentList>
    <comment ref="H7" authorId="0">
      <text>
        <r>
          <rPr>
            <b/>
            <sz val="8"/>
            <rFont val="Tahoma"/>
            <family val="0"/>
          </rPr>
          <t>JMURRAY:
WHY is there a range of numbers I can choose?</t>
        </r>
        <r>
          <rPr>
            <sz val="8"/>
            <rFont val="Tahoma"/>
            <family val="0"/>
          </rPr>
          <t xml:space="preserve">
If your repository, reports and universes are more complex, larger row set, more calcualtions etc. then indicated below then 'guesstimate' a lower number of users per CPU.
</t>
        </r>
      </text>
    </comment>
    <comment ref="B15" authorId="1">
      <text>
        <r>
          <rPr>
            <sz val="8"/>
            <rFont val="Tahoma"/>
            <family val="0"/>
          </rPr>
          <t>This accounts for lack of linearity as CPUs are added.  That is # of procs possible at 4 CPUs will not double at 8 CPUs.  This % represents the % gain in scalability, not what is lost.</t>
        </r>
      </text>
    </comment>
  </commentList>
</comments>
</file>

<file path=xl/comments9.xml><?xml version="1.0" encoding="utf-8"?>
<comments xmlns="http://schemas.openxmlformats.org/spreadsheetml/2006/main">
  <authors>
    <author>JMURRAY</author>
    <author>Tom Turchioe</author>
  </authors>
  <commentList>
    <comment ref="H7" authorId="0">
      <text>
        <r>
          <rPr>
            <b/>
            <sz val="8"/>
            <rFont val="Tahoma"/>
            <family val="0"/>
          </rPr>
          <t>JMURRAY:
WHY is there a range of numbers I can choose?</t>
        </r>
        <r>
          <rPr>
            <sz val="8"/>
            <rFont val="Tahoma"/>
            <family val="0"/>
          </rPr>
          <t xml:space="preserve">
If your repository, reports and universes are more complex, larger row set, more calcualtions etc. then indicated below then 'guesstimate' a lower number of users per CPU.
</t>
        </r>
      </text>
    </comment>
    <comment ref="B15" authorId="1">
      <text>
        <r>
          <rPr>
            <sz val="8"/>
            <rFont val="Tahoma"/>
            <family val="0"/>
          </rPr>
          <t>This accounts for lack of linearity as CPUs are added.  That is # of procs possible at 4 CPUs will not double at 8 CPUs.  This % represents the % gain in scalability, not what is lost.</t>
        </r>
      </text>
    </comment>
  </commentList>
</comments>
</file>

<file path=xl/sharedStrings.xml><?xml version="1.0" encoding="utf-8"?>
<sst xmlns="http://schemas.openxmlformats.org/spreadsheetml/2006/main" count="369" uniqueCount="203">
  <si>
    <t>Capacity Planning Worksheet</t>
  </si>
  <si>
    <t>Instructions</t>
  </si>
  <si>
    <t>Total User Population</t>
  </si>
  <si>
    <t>Active Users</t>
  </si>
  <si>
    <t>Concurrent Users</t>
  </si>
  <si>
    <t>BusObj Node</t>
  </si>
  <si>
    <t>WIQT Node</t>
  </si>
  <si>
    <t>Factors That Impact Sizing</t>
  </si>
  <si>
    <t>Users</t>
  </si>
  <si>
    <t>Design</t>
  </si>
  <si>
    <t>Customization</t>
  </si>
  <si>
    <t>Hardware</t>
  </si>
  <si>
    <t>Architecture</t>
  </si>
  <si>
    <t>All users (physical people) who will use the system</t>
  </si>
  <si>
    <t>User who are using up RAM and CPU by opening, editing, refreshing reports (at the same time)</t>
  </si>
  <si>
    <t>A node that hosts the cluster manager and the HTTP server, but no BusObj or WIQT</t>
  </si>
  <si>
    <t>A node that hosts BusObj/BOL processes capable of refreshing full client reports</t>
  </si>
  <si>
    <t>A node that hosts WIQT processes capable of refreshing WebIntelligence reports</t>
  </si>
  <si>
    <t xml:space="preserve">Reports (design, calculations, joins, size), Repository (design, size, location, complexity), Database (size, location, index) </t>
  </si>
  <si>
    <t>Using the SDK and custom workflows makes it difficult to apply general results</t>
  </si>
  <si>
    <t>Network (speed, current workload), Servers (dedicated, CPU speed, I/O, Disk, RAM, location),</t>
  </si>
  <si>
    <t xml:space="preserve">WebIntelligence modules configuration, proxy servers, DMZ, location </t>
  </si>
  <si>
    <t>can be updated to reflect the target environment</t>
  </si>
  <si>
    <r>
      <t>Note:</t>
    </r>
    <r>
      <rPr>
        <sz val="9"/>
        <rFont val="Arial"/>
        <family val="0"/>
      </rPr>
      <t xml:space="preserve"> Assumptions and other factors are now individually listed in the Parameters tab for ease of use</t>
    </r>
  </si>
  <si>
    <r>
      <t>Note:</t>
    </r>
    <r>
      <rPr>
        <sz val="9"/>
        <rFont val="Arial"/>
        <family val="0"/>
      </rPr>
      <t xml:space="preserve"> </t>
    </r>
    <r>
      <rPr>
        <b/>
        <sz val="9"/>
        <rFont val="Arial"/>
        <family val="2"/>
      </rPr>
      <t>If you have a pure thin-client deployment then put in 0% for % of BusObj Reports</t>
    </r>
  </si>
  <si>
    <r>
      <t>Note:</t>
    </r>
    <r>
      <rPr>
        <sz val="9"/>
        <rFont val="Arial"/>
        <family val="0"/>
      </rPr>
      <t xml:space="preserve"> fields that are colored</t>
    </r>
  </si>
  <si>
    <t xml:space="preserve">Glossary </t>
  </si>
  <si>
    <t>tab for more information</t>
  </si>
  <si>
    <t>System Environment Parameters &amp; Assumptions</t>
  </si>
  <si>
    <t>Hardware Configuration Parameters</t>
  </si>
  <si>
    <t># of CPUs per server</t>
  </si>
  <si>
    <t>Amount of RAM per server</t>
  </si>
  <si>
    <t>Business Objects Product Suite Parameters</t>
  </si>
  <si>
    <t>O/S Configuration Parameters</t>
  </si>
  <si>
    <t>Mb</t>
  </si>
  <si>
    <t>2, 4, 8, 16, 32,and any number up to 64 depending on the customer hardware</t>
  </si>
  <si>
    <t>RAM 1024, 2048, 4096, increments of 1024</t>
  </si>
  <si>
    <t>Sizing Assumptions</t>
  </si>
  <si>
    <t>Max # of BusObj per CPU</t>
  </si>
  <si>
    <t>Max # of WIQT per CPU</t>
  </si>
  <si>
    <t>RAM overhead (OS + WebI core)</t>
  </si>
  <si>
    <t>RAM needed for login</t>
  </si>
  <si>
    <t>RAM needed for BusObj/BOL refresh</t>
  </si>
  <si>
    <t>RAM needed by WIQT for login + refresh</t>
  </si>
  <si>
    <t>Derived Parameters (not user editable)</t>
  </si>
  <si>
    <r>
      <t xml:space="preserve">User editable fields are in </t>
    </r>
    <r>
      <rPr>
        <sz val="11"/>
        <color indexed="12"/>
        <rFont val="Tahoma"/>
        <family val="2"/>
      </rPr>
      <t>blue</t>
    </r>
  </si>
  <si>
    <t>NA</t>
  </si>
  <si>
    <t>2.6/5i tested on AIX</t>
  </si>
  <si>
    <t>2.5/5.0 tested on AIX</t>
  </si>
  <si>
    <r>
      <t xml:space="preserve">80 </t>
    </r>
    <r>
      <rPr>
        <sz val="8"/>
        <rFont val="Arial"/>
        <family val="2"/>
      </rPr>
      <t>* Tested 2000 users</t>
    </r>
  </si>
  <si>
    <r>
      <t xml:space="preserve">120 to 250 </t>
    </r>
    <r>
      <rPr>
        <sz val="8"/>
        <rFont val="Arial"/>
        <family val="2"/>
      </rPr>
      <t>* tested 6000 users</t>
    </r>
  </si>
  <si>
    <t xml:space="preserve">60 to 90 </t>
  </si>
  <si>
    <t>Estimated 256</t>
  </si>
  <si>
    <t>Estimated 10</t>
  </si>
  <si>
    <t>Estimated 30</t>
  </si>
  <si>
    <t>Estimated 20</t>
  </si>
  <si>
    <t>S85 with 24 CPU and 50GB Ram</t>
  </si>
  <si>
    <t xml:space="preserve">4 CPU (Power3 375Mhz), 4Gb RAM - in a SP Server </t>
  </si>
  <si>
    <t>Repository</t>
  </si>
  <si>
    <r>
      <t xml:space="preserve">1 group with </t>
    </r>
    <r>
      <rPr>
        <b/>
        <sz val="10"/>
        <rFont val="Arial"/>
        <family val="2"/>
      </rPr>
      <t>10,000</t>
    </r>
    <r>
      <rPr>
        <sz val="10"/>
        <rFont val="Arial"/>
        <family val="2"/>
      </rPr>
      <t xml:space="preserve"> users </t>
    </r>
  </si>
  <si>
    <t>2 levels, 1 Corporate Category, 1 Document Domain, 1 Universe Domain</t>
  </si>
  <si>
    <t>Universe</t>
  </si>
  <si>
    <t>14 classes, 155 objects, 0 conditions, 9 tables, 4 aliases, 12 joins, 1 context, 0 hierarchies</t>
  </si>
  <si>
    <t>Reports</t>
  </si>
  <si>
    <t>Thin-client and full-client with 30, 300, and 3000 rows (50% with 6 calcs included for 2.6)</t>
  </si>
  <si>
    <t>Lookup Values (not user editable; hidden)</t>
  </si>
  <si>
    <t>BOManager</t>
  </si>
  <si>
    <t xml:space="preserve">Manages the bolightserver processes. </t>
  </si>
  <si>
    <t>Capacity Planning</t>
  </si>
  <si>
    <t>Planning how you to size an overall system effectively, in relation to usage load, user profile, usage frequency, hardware, and server connections.</t>
  </si>
  <si>
    <t>Pre-load cache (using BCA)</t>
  </si>
  <si>
    <t>Note: Not applicable if most users have different security profiles and reports are sent to the inbox instead of the corportate document list. If you use a deployment with multiple Cluster Managers then cache must be primed on each machine</t>
  </si>
  <si>
    <t>Wiqt</t>
  </si>
  <si>
    <t>The process associated to each user session and manages the login process, database connection, and performs thin client document processing. It generates non-HTML pages.</t>
  </si>
  <si>
    <t>When using 5i in three-tier mode there can be two Wiqts. One handling login, one handling connectivities.</t>
  </si>
  <si>
    <t>From Start&gt;Program files&gt; BusinessObjects 5i = 1 WIQT and a busobj running on your desktop</t>
  </si>
  <si>
    <t>From InfoView if you edit a doc (or change your default options to use BusinessObjects) then you will have 2 Wiqts (the second is a clone handling connectivity)</t>
  </si>
  <si>
    <r>
      <t xml:space="preserve">You can use BCA to pre-load cache for </t>
    </r>
    <r>
      <rPr>
        <b/>
        <sz val="10"/>
        <rFont val="Arial"/>
        <family val="2"/>
      </rPr>
      <t xml:space="preserve">full-client </t>
    </r>
    <r>
      <rPr>
        <sz val="10"/>
        <rFont val="Arial"/>
        <family val="2"/>
      </rPr>
      <t>reports to minimize the impact on the server. This is not currently in the spreadsheet but if BCA is used then users would use the presentation cache and not launch a BusObj/BOL to open a full-client report.</t>
    </r>
  </si>
  <si>
    <t>Glossary</t>
  </si>
  <si>
    <t>Edit &amp; Create Reports</t>
  </si>
  <si>
    <t>Environment Sizing Parameters</t>
  </si>
  <si>
    <t>Total user population</t>
  </si>
  <si>
    <t>Ratio of BusObj reports (0 to 100)</t>
  </si>
  <si>
    <t>Percentage of users with just InfoView</t>
  </si>
  <si>
    <t>Recommended Configuration</t>
  </si>
  <si>
    <t>Assumes ALL processing happens on this server</t>
  </si>
  <si>
    <t>This also allows for drill on thin client reports</t>
  </si>
  <si>
    <t>RAM needed for BusObj/BOL</t>
  </si>
  <si>
    <t>Peak number of BusObj/BOL processes</t>
  </si>
  <si>
    <t>Number of CPUs needed for BusObj/BOL</t>
  </si>
  <si>
    <t>RAM needed for WIQTs</t>
  </si>
  <si>
    <t>Peak number of busy WIQTs</t>
  </si>
  <si>
    <t>Number of CPUs needed for WIQT</t>
  </si>
  <si>
    <t>Total RAM needed</t>
  </si>
  <si>
    <t>Total number of CPUs</t>
  </si>
  <si>
    <t>Some nodes are specialized for BusObj refresh (BusObj nodes)</t>
  </si>
  <si>
    <t>Other nodes are specialized for WebI refresh (WIQT nodes)</t>
  </si>
  <si>
    <t>Peak number of active users</t>
  </si>
  <si>
    <t>Peak number of concurrent users</t>
  </si>
  <si>
    <t>Additional Derived Parameters</t>
  </si>
  <si>
    <t>Overall Assumptions</t>
  </si>
  <si>
    <t>Primary Node</t>
  </si>
  <si>
    <t>Secondary Node</t>
  </si>
  <si>
    <t>Additional machines that belong to the same cluster.  These used to be called Cluster Nodes in V5</t>
  </si>
  <si>
    <t>Manages the communication between the member nodes (of a cluster). This used to be called a Cluster Manager in V5</t>
  </si>
  <si>
    <t>Hosts the cluster’s Web/App. Server + some specific components (no BusObj or WIQT).  This used to be called a Control Node in V5</t>
  </si>
  <si>
    <t>Web/Application Server</t>
  </si>
  <si>
    <t>Cluster</t>
  </si>
  <si>
    <t>Set of machines (nodes) configured to communicate together via Corba/Orbix/ASF</t>
  </si>
  <si>
    <t>Some nodes are specialized for BusObj/BOL refresh (BusObj nodes)</t>
  </si>
  <si>
    <t>login</t>
  </si>
  <si>
    <t>wiqt proc.</t>
  </si>
  <si>
    <t>2 wiqt BusObj</t>
  </si>
  <si>
    <t>Ttl busobj</t>
  </si>
  <si>
    <t>Memory Increment</t>
  </si>
  <si>
    <t>Additional recommendations (if any) appear below:</t>
  </si>
  <si>
    <t>Note: this is the % who are not power users</t>
  </si>
  <si>
    <t>Derived Parameters (not user editable - some hidden)</t>
  </si>
  <si>
    <t>Node High Watermark</t>
  </si>
  <si>
    <t xml:space="preserve">Users who are logged in to BusinessObjects E6.  May be using RAM not using CPU </t>
  </si>
  <si>
    <t>Web/App Server</t>
  </si>
  <si>
    <t>Peak times of use (time zones, update freq), Users (% concurrent, active at peak time), Users (% concurrent, active) , user mix (% of users each doing something different or unique)</t>
  </si>
  <si>
    <t>Is there a Web/App Server?</t>
  </si>
  <si>
    <t>Range provided for reference (5i &amp; 5.0 only)</t>
  </si>
  <si>
    <t>Other Assumptions (values not used in calcs)</t>
  </si>
  <si>
    <t>Users can read, refresh and edit BusinessObjects and WebIntelligence reports through InfoView. Here you can specify if some are power users and will access BusinessObjectsE6 in three tier mode (ZABO) to edit reports</t>
  </si>
  <si>
    <r>
      <t>Note:</t>
    </r>
    <r>
      <rPr>
        <sz val="9"/>
        <rFont val="Arial"/>
        <family val="2"/>
      </rPr>
      <t xml:space="preserve"> Units of memory are expressed in Mb unless otherwise noted</t>
    </r>
  </si>
  <si>
    <t>Select target O/S</t>
  </si>
  <si>
    <t>OS Type</t>
  </si>
  <si>
    <t>W2K</t>
  </si>
  <si>
    <t>Solaris</t>
  </si>
  <si>
    <t>AIX</t>
  </si>
  <si>
    <t>HP</t>
  </si>
  <si>
    <t>Sizing Assumptions (to edit, click on desired link below)</t>
  </si>
  <si>
    <t>View/Edit Solaris Assumptions</t>
  </si>
  <si>
    <t>View/Edit W2K Assumptions</t>
  </si>
  <si>
    <t>View/Edit AIX Assumptions</t>
  </si>
  <si>
    <t>View/Edit HP/UX Assumptions</t>
  </si>
  <si>
    <t>Hidden Jump Table for O/S specific parms</t>
  </si>
  <si>
    <t>Source Parms</t>
  </si>
  <si>
    <t>Target</t>
  </si>
  <si>
    <t>M# BOCPU</t>
  </si>
  <si>
    <t>M#WIQTCP</t>
  </si>
  <si>
    <t>RAMOWebi</t>
  </si>
  <si>
    <t>RAMLogin</t>
  </si>
  <si>
    <t>RAMBORef</t>
  </si>
  <si>
    <t>RAMWILRef</t>
  </si>
  <si>
    <t>Mem Inc</t>
  </si>
  <si>
    <t>Node Hi H2O</t>
  </si>
  <si>
    <t>Range provided for reference</t>
  </si>
  <si>
    <t>2.6/5i tested on Sun</t>
  </si>
  <si>
    <t>2.5/5.0 tested on Sun</t>
  </si>
  <si>
    <t>20 to 30</t>
  </si>
  <si>
    <t>25 to 40 (possible to 60)</t>
  </si>
  <si>
    <t>15 to 30</t>
  </si>
  <si>
    <t>10 Mb</t>
  </si>
  <si>
    <t>14 Mb</t>
  </si>
  <si>
    <t>20 Mb</t>
  </si>
  <si>
    <t>E10K server - 16 CPU 400 MHz, 16 Gb RAM</t>
  </si>
  <si>
    <t>30 Mb</t>
  </si>
  <si>
    <t>Peak percentage of total population who are logged in</t>
  </si>
  <si>
    <t>Peak percentage of logged in users who are active</t>
  </si>
  <si>
    <t>Max # of processes / Server</t>
  </si>
  <si>
    <t>YES</t>
  </si>
  <si>
    <t>CPU scaling linearity factor</t>
  </si>
  <si>
    <t>Read &amp; Refresh Reports in InfoView Portal</t>
  </si>
  <si>
    <t>Ratio of F/C reports (0 to 100)</t>
  </si>
  <si>
    <t>ProcMax</t>
  </si>
  <si>
    <t>Max # of Processes OS supports</t>
  </si>
  <si>
    <t>Max # of processes OS supports</t>
  </si>
  <si>
    <t>Processes</t>
  </si>
  <si>
    <t>Dashboard Manager (End Users)</t>
  </si>
  <si>
    <t>User Profile Projections</t>
  </si>
  <si>
    <t>User Profile Ratio</t>
  </si>
  <si>
    <t>% Users Using Analytic Based Dashboards</t>
  </si>
  <si>
    <t>% Users Using Report Based Dashboards</t>
  </si>
  <si>
    <t>Total Pct</t>
  </si>
  <si>
    <t>Analytic Based Dashboards Profile</t>
  </si>
  <si>
    <t>Avg # BO Reports per Report Based Dashboard</t>
  </si>
  <si>
    <t>Avg # of WebI reports per Analytic Based Dashboard</t>
  </si>
  <si>
    <t>Avg # of Analytics per Analytic Based Dashboard</t>
  </si>
  <si>
    <t>Report Based Dashboards Profile</t>
  </si>
  <si>
    <t>Avg # of WebI Reports per Report Based Dashboard</t>
  </si>
  <si>
    <t>Avg # of Analytics per Report Based Dashboard</t>
  </si>
  <si>
    <t>Interactive Viewing</t>
  </si>
  <si>
    <t>Percentage of document display requiring "on demand" refreshing (drilling or refresh on open)</t>
  </si>
  <si>
    <t>Peak number concurrent BO report users</t>
  </si>
  <si>
    <t>Peak number concurrent WI report users</t>
  </si>
  <si>
    <t>Peak number of Concurrent BO Report Requests</t>
  </si>
  <si>
    <t>Peak number of Concurrent WebI Report Requests</t>
  </si>
  <si>
    <t>Peak number of Concurrent Analytic Requests</t>
  </si>
  <si>
    <t>RAM required for Analytics</t>
  </si>
  <si>
    <t>RAM needed for Login</t>
  </si>
  <si>
    <t>4. Click on the Dashboard Mgr tab to enter DM user sizing info</t>
  </si>
  <si>
    <t xml:space="preserve">This worksheet is designed to provide an estimate based on assumptions set in the Parameters tab.  You should examine these assumptions and update them to reflect the target environment.  As with any estimate, the result values in this worksheet are not guaranteed.  </t>
  </si>
  <si>
    <r>
      <t xml:space="preserve">1. Click on the </t>
    </r>
    <r>
      <rPr>
        <b/>
        <u val="single"/>
        <sz val="10"/>
        <color indexed="10"/>
        <rFont val="Arial"/>
        <family val="2"/>
      </rPr>
      <t>Parameters</t>
    </r>
    <r>
      <rPr>
        <u val="single"/>
        <sz val="10"/>
        <color indexed="10"/>
        <rFont val="Arial"/>
        <family val="2"/>
      </rPr>
      <t xml:space="preserve"> tab and set environment information and assumptions</t>
    </r>
  </si>
  <si>
    <r>
      <t xml:space="preserve">2. Click on the </t>
    </r>
    <r>
      <rPr>
        <b/>
        <u val="single"/>
        <sz val="10"/>
        <color indexed="10"/>
        <rFont val="Arial"/>
        <family val="2"/>
      </rPr>
      <t>InfoView</t>
    </r>
    <r>
      <rPr>
        <u val="single"/>
        <sz val="10"/>
        <color indexed="10"/>
        <rFont val="Arial"/>
        <family val="2"/>
      </rPr>
      <t xml:space="preserve"> tab to enter end user sizing info</t>
    </r>
  </si>
  <si>
    <r>
      <t xml:space="preserve">3. Click on the </t>
    </r>
    <r>
      <rPr>
        <b/>
        <u val="single"/>
        <sz val="10"/>
        <color indexed="10"/>
        <rFont val="Arial"/>
        <family val="2"/>
      </rPr>
      <t>BusObj and WebI</t>
    </r>
    <r>
      <rPr>
        <u val="single"/>
        <sz val="10"/>
        <color indexed="10"/>
        <rFont val="Arial"/>
        <family val="2"/>
      </rPr>
      <t xml:space="preserve"> tab to enter power user sizing info</t>
    </r>
  </si>
  <si>
    <t>Purple</t>
  </si>
  <si>
    <r>
      <t xml:space="preserve">User editable fields are in </t>
    </r>
    <r>
      <rPr>
        <sz val="11"/>
        <color indexed="14"/>
        <rFont val="Tahoma"/>
        <family val="2"/>
      </rPr>
      <t>Purple</t>
    </r>
  </si>
  <si>
    <r>
      <t xml:space="preserve">User editable fields are in </t>
    </r>
    <r>
      <rPr>
        <sz val="11"/>
        <color indexed="14"/>
        <rFont val="Tahoma"/>
        <family val="2"/>
      </rPr>
      <t>purple</t>
    </r>
  </si>
  <si>
    <t>For Business Objects Enterprise 6</t>
  </si>
  <si>
    <r>
      <t xml:space="preserve">Terms &amp; Definitions </t>
    </r>
    <r>
      <rPr>
        <sz val="10"/>
        <rFont val="Arial"/>
        <family val="2"/>
      </rPr>
      <t xml:space="preserve"> -  See the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</si>
</sst>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10"/>
      <name val="Tahoma"/>
      <family val="2"/>
    </font>
    <font>
      <sz val="12"/>
      <name val="Tahoma"/>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sz val="9"/>
      <name val="Arial"/>
      <family val="0"/>
    </font>
    <font>
      <b/>
      <sz val="9"/>
      <name val="Arial"/>
      <family val="2"/>
    </font>
    <font>
      <b/>
      <i/>
      <sz val="11"/>
      <color indexed="23"/>
      <name val="Arial"/>
      <family val="2"/>
    </font>
    <font>
      <sz val="10"/>
      <color indexed="41"/>
      <name val="Arial"/>
      <family val="2"/>
    </font>
    <font>
      <b/>
      <i/>
      <sz val="9"/>
      <name val="Arial"/>
      <family val="2"/>
    </font>
    <font>
      <sz val="10"/>
      <color indexed="12"/>
      <name val="Arial"/>
      <family val="2"/>
    </font>
    <font>
      <b/>
      <sz val="10"/>
      <color indexed="12"/>
      <name val="Arial"/>
      <family val="2"/>
    </font>
    <font>
      <b/>
      <sz val="12"/>
      <color indexed="12"/>
      <name val="Arial"/>
      <family val="2"/>
    </font>
    <font>
      <sz val="11"/>
      <name val="Tahoma"/>
      <family val="2"/>
    </font>
    <font>
      <sz val="11"/>
      <color indexed="12"/>
      <name val="Tahoma"/>
      <family val="2"/>
    </font>
    <font>
      <b/>
      <sz val="11"/>
      <color indexed="12"/>
      <name val="Arial"/>
      <family val="2"/>
    </font>
    <font>
      <sz val="8"/>
      <name val="Arial"/>
      <family val="2"/>
    </font>
    <font>
      <b/>
      <sz val="8"/>
      <name val="Arial"/>
      <family val="2"/>
    </font>
    <font>
      <b/>
      <sz val="8.5"/>
      <name val="Arial"/>
      <family val="2"/>
    </font>
    <font>
      <b/>
      <sz val="8"/>
      <name val="Tahoma"/>
      <family val="0"/>
    </font>
    <font>
      <sz val="8"/>
      <name val="Tahoma"/>
      <family val="0"/>
    </font>
    <font>
      <sz val="11"/>
      <name val="Book Antiqua"/>
      <family val="1"/>
    </font>
    <font>
      <sz val="10"/>
      <color indexed="8"/>
      <name val="Arial"/>
      <family val="2"/>
    </font>
    <font>
      <sz val="10"/>
      <color indexed="9"/>
      <name val="Arial"/>
      <family val="0"/>
    </font>
    <font>
      <sz val="8"/>
      <color indexed="8"/>
      <name val="Tahoma"/>
      <family val="0"/>
    </font>
    <font>
      <b/>
      <sz val="8"/>
      <color indexed="8"/>
      <name val="Tahoma"/>
      <family val="2"/>
    </font>
    <font>
      <b/>
      <i/>
      <sz val="12"/>
      <color indexed="60"/>
      <name val="Arial"/>
      <family val="2"/>
    </font>
    <font>
      <b/>
      <sz val="14"/>
      <name val="Arial"/>
      <family val="2"/>
    </font>
    <font>
      <sz val="7"/>
      <name val="Arial"/>
      <family val="2"/>
    </font>
    <font>
      <sz val="10"/>
      <color indexed="22"/>
      <name val="Arial"/>
      <family val="2"/>
    </font>
    <font>
      <i/>
      <sz val="10"/>
      <color indexed="60"/>
      <name val="Arial"/>
      <family val="2"/>
    </font>
    <font>
      <b/>
      <i/>
      <sz val="11"/>
      <name val="Arial"/>
      <family val="2"/>
    </font>
    <font>
      <sz val="10"/>
      <color indexed="60"/>
      <name val="Arial"/>
      <family val="2"/>
    </font>
    <font>
      <b/>
      <i/>
      <sz val="10"/>
      <name val="Arial"/>
      <family val="2"/>
    </font>
    <font>
      <u val="single"/>
      <sz val="10"/>
      <color indexed="10"/>
      <name val="Arial"/>
      <family val="2"/>
    </font>
    <font>
      <b/>
      <u val="single"/>
      <sz val="10"/>
      <color indexed="10"/>
      <name val="Arial"/>
      <family val="2"/>
    </font>
    <font>
      <sz val="11"/>
      <color indexed="14"/>
      <name val="Tahoma"/>
      <family val="2"/>
    </font>
    <font>
      <sz val="10"/>
      <color indexed="14"/>
      <name val="Arial"/>
      <family val="2"/>
    </font>
    <font>
      <b/>
      <sz val="12"/>
      <color indexed="14"/>
      <name val="Arial"/>
      <family val="2"/>
    </font>
    <font>
      <b/>
      <sz val="10"/>
      <color indexed="14"/>
      <name val="Arial"/>
      <family val="2"/>
    </font>
    <font>
      <b/>
      <sz val="11"/>
      <color indexed="14"/>
      <name val="Arial"/>
      <family val="2"/>
    </font>
    <font>
      <u val="single"/>
      <sz val="10"/>
      <color indexed="14"/>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gray0625"/>
    </fill>
    <fill>
      <patternFill patternType="lightUp"/>
    </fill>
    <fill>
      <patternFill patternType="solid">
        <fgColor indexed="14"/>
        <bgColor indexed="64"/>
      </patternFill>
    </fill>
    <fill>
      <patternFill patternType="solid">
        <fgColor indexed="65"/>
        <bgColor indexed="64"/>
      </patternFill>
    </fill>
  </fills>
  <borders count="50">
    <border>
      <left/>
      <right/>
      <top/>
      <bottom/>
      <diagonal/>
    </border>
    <border>
      <left>
        <color indexed="63"/>
      </left>
      <right style="thin"/>
      <top>
        <color indexed="63"/>
      </top>
      <bottom>
        <color indexed="63"/>
      </bottom>
    </border>
    <border>
      <left>
        <color indexed="63"/>
      </left>
      <right style="medium">
        <color indexed="60"/>
      </right>
      <top>
        <color indexed="63"/>
      </top>
      <bottom>
        <color indexed="63"/>
      </bottom>
    </border>
    <border>
      <left>
        <color indexed="63"/>
      </left>
      <right>
        <color indexed="63"/>
      </right>
      <top>
        <color indexed="63"/>
      </top>
      <bottom style="medium">
        <color indexed="60"/>
      </bottom>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style="thin"/>
      <top style="thin"/>
      <bottom style="thin"/>
    </border>
    <border>
      <left style="thin"/>
      <right style="thin"/>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medium"/>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color indexed="63"/>
      </bottom>
    </border>
    <border>
      <left style="medium">
        <color indexed="60"/>
      </left>
      <right>
        <color indexed="63"/>
      </right>
      <top>
        <color indexed="63"/>
      </top>
      <bottom style="medium">
        <color indexed="60"/>
      </bottom>
    </border>
    <border>
      <left>
        <color indexed="63"/>
      </left>
      <right style="medium">
        <color indexed="60"/>
      </right>
      <top>
        <color indexed="63"/>
      </top>
      <bottom style="medium">
        <color indexed="60"/>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7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xf>
    <xf numFmtId="0" fontId="0" fillId="0" borderId="0" xfId="0" applyFont="1"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wrapText="1"/>
    </xf>
    <xf numFmtId="0" fontId="3" fillId="0" borderId="0" xfId="20" applyAlignment="1">
      <alignment/>
    </xf>
    <xf numFmtId="0" fontId="12" fillId="0" borderId="0" xfId="0" applyFont="1" applyAlignment="1">
      <alignment/>
    </xf>
    <xf numFmtId="0" fontId="10" fillId="0" borderId="4" xfId="0" applyFont="1" applyBorder="1" applyAlignment="1">
      <alignment/>
    </xf>
    <xf numFmtId="0" fontId="15" fillId="0" borderId="0" xfId="0" applyFont="1" applyAlignment="1">
      <alignment/>
    </xf>
    <xf numFmtId="0" fontId="16" fillId="0" borderId="0" xfId="0" applyFont="1" applyAlignment="1">
      <alignment horizontal="center"/>
    </xf>
    <xf numFmtId="1" fontId="0" fillId="0" borderId="0" xfId="0" applyNumberFormat="1" applyAlignment="1">
      <alignment/>
    </xf>
    <xf numFmtId="0" fontId="0" fillId="2" borderId="4" xfId="0" applyFill="1" applyBorder="1" applyAlignment="1">
      <alignment/>
    </xf>
    <xf numFmtId="0" fontId="0" fillId="0" borderId="0" xfId="0" applyFont="1" applyAlignment="1">
      <alignment/>
    </xf>
    <xf numFmtId="0" fontId="5" fillId="3" borderId="5" xfId="0" applyFont="1" applyFill="1" applyBorder="1" applyAlignment="1">
      <alignment/>
    </xf>
    <xf numFmtId="0" fontId="0" fillId="3" borderId="6" xfId="0" applyFill="1" applyBorder="1" applyAlignment="1">
      <alignment horizontal="left"/>
    </xf>
    <xf numFmtId="0" fontId="0" fillId="3" borderId="0" xfId="0" applyFill="1" applyBorder="1" applyAlignment="1">
      <alignment horizontal="left"/>
    </xf>
    <xf numFmtId="1" fontId="0" fillId="3" borderId="6" xfId="0" applyNumberFormat="1" applyFill="1" applyBorder="1" applyAlignment="1">
      <alignment horizontal="left"/>
    </xf>
    <xf numFmtId="1" fontId="0" fillId="3" borderId="0" xfId="0" applyNumberFormat="1" applyFill="1" applyBorder="1" applyAlignment="1">
      <alignment horizontal="left"/>
    </xf>
    <xf numFmtId="0" fontId="5" fillId="3" borderId="7" xfId="0" applyFont="1" applyFill="1" applyBorder="1" applyAlignment="1">
      <alignment/>
    </xf>
    <xf numFmtId="1" fontId="0" fillId="3" borderId="6" xfId="0" applyNumberFormat="1" applyFill="1" applyBorder="1" applyAlignment="1">
      <alignment/>
    </xf>
    <xf numFmtId="1" fontId="0" fillId="3" borderId="0" xfId="0" applyNumberFormat="1" applyFill="1" applyBorder="1" applyAlignment="1">
      <alignment/>
    </xf>
    <xf numFmtId="1" fontId="0" fillId="3" borderId="8" xfId="0" applyNumberFormat="1" applyFill="1" applyBorder="1" applyAlignment="1">
      <alignment horizontal="left"/>
    </xf>
    <xf numFmtId="1" fontId="0" fillId="3" borderId="8" xfId="0" applyNumberFormat="1" applyFill="1" applyBorder="1" applyAlignment="1">
      <alignment/>
    </xf>
    <xf numFmtId="0" fontId="0" fillId="3" borderId="8" xfId="0" applyFill="1" applyBorder="1" applyAlignment="1">
      <alignment horizontal="left"/>
    </xf>
    <xf numFmtId="0" fontId="0" fillId="3" borderId="7" xfId="0" applyFill="1" applyBorder="1" applyAlignment="1">
      <alignment/>
    </xf>
    <xf numFmtId="0" fontId="0" fillId="3" borderId="9" xfId="0" applyFill="1" applyBorder="1" applyAlignment="1">
      <alignment/>
    </xf>
    <xf numFmtId="0" fontId="0" fillId="0" borderId="0" xfId="0" applyBorder="1" applyAlignment="1">
      <alignment horizontal="left" vertical="top" wrapText="1"/>
    </xf>
    <xf numFmtId="0" fontId="0" fillId="0" borderId="0" xfId="0" applyAlignment="1">
      <alignment horizontal="left" indent="1"/>
    </xf>
    <xf numFmtId="1" fontId="0" fillId="0" borderId="0" xfId="0" applyNumberFormat="1" applyBorder="1" applyAlignment="1">
      <alignment/>
    </xf>
    <xf numFmtId="0" fontId="5" fillId="0" borderId="0" xfId="0" applyFont="1" applyBorder="1" applyAlignment="1">
      <alignment/>
    </xf>
    <xf numFmtId="0" fontId="14" fillId="0" borderId="0" xfId="0" applyFont="1" applyAlignment="1">
      <alignment/>
    </xf>
    <xf numFmtId="0" fontId="14" fillId="0" borderId="0" xfId="0" applyFont="1" applyBorder="1" applyAlignment="1">
      <alignment/>
    </xf>
    <xf numFmtId="1" fontId="14" fillId="0" borderId="0" xfId="0" applyNumberFormat="1" applyFont="1" applyBorder="1" applyAlignment="1">
      <alignment/>
    </xf>
    <xf numFmtId="0" fontId="3" fillId="0" borderId="0" xfId="20" applyAlignment="1">
      <alignment horizontal="center"/>
    </xf>
    <xf numFmtId="0" fontId="24" fillId="0" borderId="0" xfId="0" applyFont="1" applyAlignment="1">
      <alignment/>
    </xf>
    <xf numFmtId="0" fontId="24" fillId="0" borderId="0" xfId="0" applyFont="1" applyAlignment="1">
      <alignment horizontal="left" wrapText="1"/>
    </xf>
    <xf numFmtId="0" fontId="0" fillId="0" borderId="0" xfId="0" applyFont="1" applyAlignment="1">
      <alignment horizontal="left" wrapText="1"/>
    </xf>
    <xf numFmtId="0" fontId="0" fillId="0" borderId="4" xfId="0" applyBorder="1" applyAlignment="1" applyProtection="1">
      <alignment/>
      <protection/>
    </xf>
    <xf numFmtId="0" fontId="29" fillId="0" borderId="0" xfId="0" applyFont="1" applyAlignment="1">
      <alignment/>
    </xf>
    <xf numFmtId="0" fontId="0" fillId="0" borderId="0" xfId="0" applyBorder="1" applyAlignment="1">
      <alignment horizontal="left"/>
    </xf>
    <xf numFmtId="0" fontId="0" fillId="0" borderId="0" xfId="0" applyFill="1" applyBorder="1" applyAlignment="1">
      <alignment/>
    </xf>
    <xf numFmtId="0" fontId="0" fillId="0" borderId="0" xfId="0" applyFont="1" applyFill="1" applyBorder="1" applyAlignment="1">
      <alignment horizontal="left"/>
    </xf>
    <xf numFmtId="0" fontId="30" fillId="0" borderId="10" xfId="0" applyFont="1" applyBorder="1" applyAlignment="1">
      <alignment/>
    </xf>
    <xf numFmtId="0" fontId="7" fillId="0" borderId="10" xfId="0" applyFont="1" applyBorder="1" applyAlignment="1">
      <alignment/>
    </xf>
    <xf numFmtId="0" fontId="0" fillId="0" borderId="0" xfId="0" applyFont="1" applyFill="1" applyBorder="1" applyAlignment="1">
      <alignment/>
    </xf>
    <xf numFmtId="0" fontId="0" fillId="0" borderId="0" xfId="0" applyFill="1" applyAlignment="1">
      <alignment/>
    </xf>
    <xf numFmtId="0" fontId="0" fillId="0" borderId="4" xfId="0" applyFont="1" applyFill="1" applyBorder="1" applyAlignment="1">
      <alignment/>
    </xf>
    <xf numFmtId="1" fontId="0" fillId="0" borderId="4" xfId="0" applyNumberFormat="1" applyFont="1" applyFill="1" applyBorder="1" applyAlignment="1">
      <alignment/>
    </xf>
    <xf numFmtId="0" fontId="31" fillId="0" borderId="0" xfId="0" applyFont="1" applyBorder="1" applyAlignment="1">
      <alignment/>
    </xf>
    <xf numFmtId="0" fontId="30" fillId="0" borderId="9" xfId="0" applyFont="1" applyBorder="1" applyAlignment="1">
      <alignment/>
    </xf>
    <xf numFmtId="0" fontId="33" fillId="0" borderId="0" xfId="0" applyFont="1" applyAlignment="1">
      <alignment/>
    </xf>
    <xf numFmtId="0" fontId="0" fillId="0" borderId="4" xfId="0" applyFont="1" applyFill="1" applyBorder="1" applyAlignment="1">
      <alignment vertical="center"/>
    </xf>
    <xf numFmtId="0" fontId="0" fillId="4" borderId="4" xfId="0" applyFont="1" applyFill="1" applyBorder="1" applyAlignment="1">
      <alignment/>
    </xf>
    <xf numFmtId="0" fontId="32" fillId="3" borderId="4" xfId="0" applyFont="1" applyFill="1" applyBorder="1" applyAlignment="1">
      <alignment/>
    </xf>
    <xf numFmtId="0" fontId="0" fillId="0" borderId="11" xfId="0" applyFont="1" applyFill="1" applyBorder="1" applyAlignment="1">
      <alignment/>
    </xf>
    <xf numFmtId="0" fontId="0" fillId="0" borderId="4" xfId="0" applyFont="1" applyFill="1" applyBorder="1" applyAlignment="1">
      <alignment horizontal="right" vertical="center"/>
    </xf>
    <xf numFmtId="0" fontId="32" fillId="3" borderId="11" xfId="0" applyFont="1" applyFill="1" applyBorder="1" applyAlignment="1">
      <alignment/>
    </xf>
    <xf numFmtId="0" fontId="5" fillId="0" borderId="12" xfId="0" applyFont="1" applyBorder="1" applyAlignment="1">
      <alignment/>
    </xf>
    <xf numFmtId="9" fontId="5" fillId="5" borderId="11" xfId="0" applyNumberFormat="1" applyFont="1" applyFill="1" applyBorder="1" applyAlignment="1">
      <alignment/>
    </xf>
    <xf numFmtId="0" fontId="5" fillId="0" borderId="11" xfId="0" applyFont="1" applyBorder="1" applyAlignment="1">
      <alignment/>
    </xf>
    <xf numFmtId="0" fontId="0" fillId="0" borderId="4" xfId="0" applyFont="1" applyBorder="1" applyAlignment="1">
      <alignment/>
    </xf>
    <xf numFmtId="0" fontId="0" fillId="0" borderId="13" xfId="0" applyFont="1" applyBorder="1" applyAlignment="1">
      <alignment/>
    </xf>
    <xf numFmtId="0" fontId="0" fillId="0" borderId="14" xfId="0" applyFont="1" applyFill="1" applyBorder="1" applyAlignment="1">
      <alignment/>
    </xf>
    <xf numFmtId="0" fontId="0" fillId="5" borderId="4" xfId="0" applyFill="1" applyBorder="1" applyAlignment="1">
      <alignment/>
    </xf>
    <xf numFmtId="0" fontId="5" fillId="0" borderId="15" xfId="0" applyFont="1" applyBorder="1" applyAlignment="1">
      <alignment/>
    </xf>
    <xf numFmtId="0" fontId="13" fillId="0" borderId="4" xfId="0" applyFont="1" applyBorder="1" applyAlignment="1">
      <alignment/>
    </xf>
    <xf numFmtId="0" fontId="13" fillId="0" borderId="13" xfId="0" applyFont="1" applyBorder="1" applyAlignment="1">
      <alignment/>
    </xf>
    <xf numFmtId="0" fontId="11" fillId="0" borderId="0" xfId="0" applyFont="1" applyFill="1" applyAlignment="1">
      <alignment horizontal="center"/>
    </xf>
    <xf numFmtId="0" fontId="0" fillId="0" borderId="0" xfId="0" applyFill="1" applyBorder="1" applyAlignment="1">
      <alignment horizontal="left"/>
    </xf>
    <xf numFmtId="0" fontId="20" fillId="0" borderId="0" xfId="0" applyFont="1" applyFill="1" applyBorder="1" applyAlignment="1">
      <alignment vertical="top" wrapText="1"/>
    </xf>
    <xf numFmtId="0" fontId="0" fillId="0" borderId="4" xfId="0" applyFont="1" applyFill="1" applyBorder="1" applyAlignment="1">
      <alignment/>
    </xf>
    <xf numFmtId="0" fontId="0" fillId="0" borderId="16"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1" fontId="0" fillId="0" borderId="0" xfId="0" applyNumberFormat="1" applyFill="1" applyBorder="1" applyAlignment="1">
      <alignment/>
    </xf>
    <xf numFmtId="0" fontId="14" fillId="0" borderId="0" xfId="0" applyFont="1" applyFill="1" applyBorder="1" applyAlignment="1">
      <alignment/>
    </xf>
    <xf numFmtId="0" fontId="0" fillId="0" borderId="0" xfId="0" applyFont="1" applyAlignment="1">
      <alignment/>
    </xf>
    <xf numFmtId="0" fontId="15" fillId="0" borderId="0" xfId="0" applyFont="1" applyFill="1" applyBorder="1" applyAlignment="1">
      <alignment/>
    </xf>
    <xf numFmtId="0" fontId="15" fillId="3" borderId="17" xfId="0" applyFont="1" applyFill="1" applyBorder="1" applyAlignment="1">
      <alignment horizontal="left"/>
    </xf>
    <xf numFmtId="0" fontId="15" fillId="3" borderId="18" xfId="0" applyFont="1" applyFill="1" applyBorder="1" applyAlignment="1">
      <alignment horizontal="left"/>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xf>
    <xf numFmtId="0" fontId="0" fillId="0" borderId="20" xfId="0" applyBorder="1" applyAlignment="1">
      <alignment horizontal="center"/>
    </xf>
    <xf numFmtId="0" fontId="18" fillId="3" borderId="17" xfId="0" applyFont="1" applyFill="1" applyBorder="1" applyAlignment="1">
      <alignment/>
    </xf>
    <xf numFmtId="0" fontId="18" fillId="3" borderId="18" xfId="0" applyFont="1" applyFill="1" applyBorder="1" applyAlignment="1">
      <alignment/>
    </xf>
    <xf numFmtId="0" fontId="0" fillId="3" borderId="6" xfId="0" applyFill="1" applyBorder="1" applyAlignment="1">
      <alignment/>
    </xf>
    <xf numFmtId="0" fontId="0" fillId="3" borderId="0" xfId="0" applyFill="1" applyBorder="1" applyAlignment="1">
      <alignment/>
    </xf>
    <xf numFmtId="0" fontId="0" fillId="3" borderId="8" xfId="0" applyFill="1" applyBorder="1" applyAlignment="1">
      <alignment/>
    </xf>
    <xf numFmtId="0" fontId="32" fillId="3" borderId="0" xfId="0" applyFont="1" applyFill="1" applyBorder="1" applyAlignment="1">
      <alignment/>
    </xf>
    <xf numFmtId="0" fontId="32" fillId="3" borderId="8" xfId="0" applyFont="1" applyFill="1" applyBorder="1" applyAlignment="1">
      <alignment/>
    </xf>
    <xf numFmtId="0" fontId="0" fillId="3" borderId="6" xfId="0" applyFont="1"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5" fillId="3" borderId="17" xfId="0" applyFont="1" applyFill="1" applyBorder="1" applyAlignment="1">
      <alignment/>
    </xf>
    <xf numFmtId="0" fontId="0" fillId="3" borderId="17" xfId="0" applyFill="1" applyBorder="1" applyAlignment="1">
      <alignment/>
    </xf>
    <xf numFmtId="0" fontId="0" fillId="3" borderId="18" xfId="0" applyFill="1" applyBorder="1" applyAlignment="1">
      <alignment/>
    </xf>
    <xf numFmtId="1" fontId="21" fillId="3" borderId="6" xfId="0" applyNumberFormat="1" applyFont="1" applyFill="1" applyBorder="1" applyAlignment="1">
      <alignment horizontal="left" vertical="top" wrapText="1"/>
    </xf>
    <xf numFmtId="1" fontId="21" fillId="3" borderId="0" xfId="0" applyNumberFormat="1" applyFont="1" applyFill="1" applyBorder="1" applyAlignment="1">
      <alignment horizontal="left" vertical="top" wrapText="1"/>
    </xf>
    <xf numFmtId="1" fontId="21" fillId="3" borderId="8" xfId="0" applyNumberFormat="1" applyFont="1" applyFill="1" applyBorder="1" applyAlignment="1">
      <alignment horizontal="left" vertical="top" wrapText="1"/>
    </xf>
    <xf numFmtId="0" fontId="0" fillId="0" borderId="1" xfId="0" applyFill="1" applyBorder="1" applyAlignment="1">
      <alignment/>
    </xf>
    <xf numFmtId="0" fontId="0" fillId="0" borderId="24" xfId="0" applyBorder="1" applyAlignment="1">
      <alignment/>
    </xf>
    <xf numFmtId="0" fontId="0" fillId="0" borderId="19" xfId="0" applyBorder="1" applyAlignment="1">
      <alignment/>
    </xf>
    <xf numFmtId="0" fontId="0" fillId="0" borderId="22" xfId="0" applyBorder="1" applyAlignment="1">
      <alignment/>
    </xf>
    <xf numFmtId="9" fontId="5" fillId="0" borderId="25" xfId="21" applyFont="1" applyFill="1" applyBorder="1" applyAlignment="1" applyProtection="1">
      <alignment/>
      <protection locked="0"/>
    </xf>
    <xf numFmtId="0" fontId="0" fillId="0" borderId="6" xfId="0" applyBorder="1" applyAlignment="1">
      <alignment/>
    </xf>
    <xf numFmtId="0" fontId="0" fillId="0" borderId="21" xfId="0" applyBorder="1" applyAlignment="1">
      <alignment/>
    </xf>
    <xf numFmtId="0" fontId="0" fillId="0" borderId="1" xfId="0" applyBorder="1" applyAlignment="1">
      <alignment horizontal="left"/>
    </xf>
    <xf numFmtId="9" fontId="5" fillId="0" borderId="0" xfId="21" applyFont="1"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3" fillId="0" borderId="0" xfId="20" applyAlignment="1">
      <alignment horizontal="left"/>
    </xf>
    <xf numFmtId="9" fontId="5" fillId="0" borderId="27" xfId="21" applyFont="1" applyFill="1" applyBorder="1" applyAlignment="1" applyProtection="1">
      <alignment/>
      <protection/>
    </xf>
    <xf numFmtId="9" fontId="5" fillId="0" borderId="28" xfId="21" applyFont="1" applyFill="1" applyBorder="1" applyAlignment="1" applyProtection="1">
      <alignment/>
      <protection/>
    </xf>
    <xf numFmtId="0" fontId="0" fillId="2" borderId="14" xfId="0" applyFill="1" applyBorder="1" applyAlignment="1">
      <alignment horizontal="center"/>
    </xf>
    <xf numFmtId="0" fontId="0" fillId="0" borderId="29" xfId="0" applyBorder="1" applyAlignment="1">
      <alignment/>
    </xf>
    <xf numFmtId="0" fontId="0" fillId="0" borderId="19" xfId="0" applyBorder="1" applyAlignment="1">
      <alignment/>
    </xf>
    <xf numFmtId="0" fontId="0" fillId="0" borderId="20" xfId="0" applyBorder="1" applyAlignment="1">
      <alignment/>
    </xf>
    <xf numFmtId="0" fontId="0" fillId="2" borderId="30" xfId="0" applyFill="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xf>
    <xf numFmtId="0" fontId="5" fillId="0" borderId="4" xfId="0" applyFont="1" applyBorder="1" applyAlignment="1">
      <alignment horizontal="left"/>
    </xf>
    <xf numFmtId="0" fontId="5" fillId="0" borderId="4" xfId="0" applyFont="1" applyBorder="1" applyAlignment="1">
      <alignment horizontal="left" vertical="center"/>
    </xf>
    <xf numFmtId="0" fontId="0" fillId="2" borderId="31" xfId="0" applyFill="1" applyBorder="1" applyAlignment="1">
      <alignment horizontal="center"/>
    </xf>
    <xf numFmtId="0" fontId="10" fillId="0" borderId="4" xfId="0" applyFont="1" applyBorder="1" applyAlignment="1">
      <alignment horizontal="left" vertical="center"/>
    </xf>
    <xf numFmtId="0" fontId="1" fillId="0" borderId="4" xfId="0" applyFont="1" applyBorder="1" applyAlignment="1">
      <alignment horizontal="left" wrapText="1"/>
    </xf>
    <xf numFmtId="0" fontId="10" fillId="0" borderId="4" xfId="0" applyFont="1" applyBorder="1" applyAlignment="1">
      <alignment vertical="center" wrapText="1"/>
    </xf>
    <xf numFmtId="0" fontId="1" fillId="0" borderId="4" xfId="0" applyFont="1" applyBorder="1" applyAlignment="1">
      <alignment wrapText="1"/>
    </xf>
    <xf numFmtId="0" fontId="0" fillId="0" borderId="4" xfId="0" applyBorder="1" applyAlignment="1">
      <alignment wrapText="1"/>
    </xf>
    <xf numFmtId="0" fontId="1" fillId="0" borderId="31" xfId="0" applyFont="1" applyBorder="1" applyAlignment="1">
      <alignment/>
    </xf>
    <xf numFmtId="0" fontId="0" fillId="0" borderId="30" xfId="0" applyBorder="1" applyAlignment="1">
      <alignment/>
    </xf>
    <xf numFmtId="0" fontId="0" fillId="0" borderId="14" xfId="0" applyBorder="1" applyAlignment="1">
      <alignment/>
    </xf>
    <xf numFmtId="0" fontId="10" fillId="0" borderId="4" xfId="0" applyFont="1" applyBorder="1" applyAlignment="1">
      <alignment vertical="center"/>
    </xf>
    <xf numFmtId="0" fontId="0" fillId="0" borderId="31" xfId="0" applyBorder="1" applyAlignment="1">
      <alignment horizontal="left"/>
    </xf>
    <xf numFmtId="0" fontId="0" fillId="0" borderId="30" xfId="0" applyBorder="1" applyAlignment="1">
      <alignment horizontal="left"/>
    </xf>
    <xf numFmtId="0" fontId="0" fillId="0" borderId="14" xfId="0" applyBorder="1" applyAlignment="1">
      <alignment horizontal="left"/>
    </xf>
    <xf numFmtId="0" fontId="0" fillId="0" borderId="31" xfId="0" applyBorder="1" applyAlignment="1">
      <alignment horizontal="right"/>
    </xf>
    <xf numFmtId="0" fontId="0" fillId="0" borderId="30" xfId="0" applyBorder="1" applyAlignment="1">
      <alignment horizontal="right"/>
    </xf>
    <xf numFmtId="0" fontId="0" fillId="0" borderId="14" xfId="0" applyBorder="1" applyAlignment="1">
      <alignment horizontal="right"/>
    </xf>
    <xf numFmtId="0" fontId="0" fillId="0" borderId="4" xfId="0" applyFont="1" applyBorder="1" applyAlignment="1">
      <alignment horizontal="left"/>
    </xf>
    <xf numFmtId="0" fontId="0" fillId="0" borderId="4" xfId="0" applyBorder="1" applyAlignment="1">
      <alignment horizontal="left"/>
    </xf>
    <xf numFmtId="0" fontId="0" fillId="0" borderId="32" xfId="0" applyBorder="1" applyAlignment="1">
      <alignment horizontal="left"/>
    </xf>
    <xf numFmtId="1" fontId="21" fillId="0" borderId="0" xfId="0" applyNumberFormat="1" applyFont="1" applyFill="1" applyBorder="1" applyAlignment="1">
      <alignment horizontal="left" vertical="top" wrapText="1"/>
    </xf>
    <xf numFmtId="0" fontId="2" fillId="0" borderId="0" xfId="0" applyFont="1" applyAlignment="1">
      <alignment horizontal="center"/>
    </xf>
    <xf numFmtId="0" fontId="16" fillId="0" borderId="0" xfId="0" applyFont="1" applyAlignment="1">
      <alignment horizontal="center"/>
    </xf>
    <xf numFmtId="0" fontId="0" fillId="0" borderId="4" xfId="0" applyFont="1" applyBorder="1" applyAlignment="1">
      <alignment horizontal="left"/>
    </xf>
    <xf numFmtId="0" fontId="20" fillId="0" borderId="0" xfId="0" applyFont="1" applyFill="1" applyBorder="1" applyAlignment="1">
      <alignment vertical="top" wrapText="1"/>
    </xf>
    <xf numFmtId="0" fontId="0" fillId="0" borderId="4" xfId="0" applyBorder="1" applyAlignment="1">
      <alignment horizontal="left" wrapText="1"/>
    </xf>
    <xf numFmtId="0" fontId="0" fillId="0" borderId="4" xfId="0" applyFont="1" applyFill="1" applyBorder="1" applyAlignment="1">
      <alignment horizontal="right"/>
    </xf>
    <xf numFmtId="0" fontId="0" fillId="0" borderId="29" xfId="0" applyBorder="1" applyAlignment="1">
      <alignment horizontal="right" vertical="top" wrapText="1"/>
    </xf>
    <xf numFmtId="0" fontId="0" fillId="0" borderId="19" xfId="0" applyBorder="1" applyAlignment="1">
      <alignment horizontal="right" vertical="top" wrapText="1"/>
    </xf>
    <xf numFmtId="0" fontId="0" fillId="0" borderId="20" xfId="0" applyBorder="1" applyAlignment="1">
      <alignment horizontal="right" vertical="top" wrapText="1"/>
    </xf>
    <xf numFmtId="0" fontId="0" fillId="0" borderId="33" xfId="0" applyBorder="1" applyAlignment="1">
      <alignment horizontal="left"/>
    </xf>
    <xf numFmtId="0" fontId="0" fillId="0" borderId="34" xfId="0" applyBorder="1" applyAlignment="1">
      <alignment horizontal="left"/>
    </xf>
    <xf numFmtId="0" fontId="0" fillId="0" borderId="24" xfId="0" applyBorder="1" applyAlignment="1">
      <alignment horizontal="left"/>
    </xf>
    <xf numFmtId="0" fontId="0" fillId="0" borderId="4" xfId="0" applyFont="1" applyBorder="1" applyAlignment="1">
      <alignment horizontal="right"/>
    </xf>
    <xf numFmtId="0" fontId="0" fillId="0" borderId="31" xfId="0" applyFont="1" applyFill="1" applyBorder="1" applyAlignment="1">
      <alignment horizontal="left"/>
    </xf>
    <xf numFmtId="0" fontId="0" fillId="0" borderId="30" xfId="0" applyFont="1" applyFill="1" applyBorder="1" applyAlignment="1">
      <alignment horizontal="left"/>
    </xf>
    <xf numFmtId="0" fontId="0" fillId="0" borderId="14" xfId="0" applyFont="1" applyFill="1" applyBorder="1" applyAlignment="1">
      <alignment horizontal="left"/>
    </xf>
    <xf numFmtId="0" fontId="34" fillId="4" borderId="0" xfId="0" applyFont="1" applyFill="1" applyAlignment="1">
      <alignment horizontal="left"/>
    </xf>
    <xf numFmtId="0" fontId="5" fillId="0" borderId="31" xfId="0" applyFont="1" applyBorder="1" applyAlignment="1">
      <alignment horizontal="left"/>
    </xf>
    <xf numFmtId="0" fontId="5" fillId="0" borderId="30" xfId="0" applyFont="1" applyBorder="1" applyAlignment="1">
      <alignment horizontal="left"/>
    </xf>
    <xf numFmtId="0" fontId="5" fillId="0" borderId="14" xfId="0" applyFont="1" applyBorder="1" applyAlignment="1">
      <alignment horizontal="left"/>
    </xf>
    <xf numFmtId="0" fontId="0" fillId="0" borderId="13" xfId="0" applyFont="1" applyBorder="1" applyAlignment="1">
      <alignment horizontal="right"/>
    </xf>
    <xf numFmtId="0" fontId="5" fillId="0" borderId="29"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35" xfId="0" applyFont="1" applyBorder="1" applyAlignment="1">
      <alignment horizontal="left"/>
    </xf>
    <xf numFmtId="0" fontId="5" fillId="0" borderId="22" xfId="0" applyFont="1" applyBorder="1" applyAlignment="1">
      <alignment horizontal="left"/>
    </xf>
    <xf numFmtId="0" fontId="5" fillId="0" borderId="36" xfId="0" applyFont="1" applyBorder="1" applyAlignment="1">
      <alignment horizontal="left"/>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0" fillId="0" borderId="24" xfId="0" applyFont="1" applyFill="1" applyBorder="1" applyAlignment="1">
      <alignment horizontal="left" vertical="top"/>
    </xf>
    <xf numFmtId="0" fontId="0" fillId="0" borderId="29"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4" xfId="0" applyFont="1" applyFill="1" applyBorder="1" applyAlignment="1">
      <alignment horizontal="left"/>
    </xf>
    <xf numFmtId="0" fontId="6" fillId="0" borderId="4" xfId="0" applyFont="1" applyFill="1" applyBorder="1" applyAlignment="1">
      <alignment horizontal="center" vertical="center"/>
    </xf>
    <xf numFmtId="0" fontId="13" fillId="0" borderId="13" xfId="0" applyFont="1" applyBorder="1" applyAlignment="1">
      <alignment horizontal="right"/>
    </xf>
    <xf numFmtId="0" fontId="13" fillId="0" borderId="4" xfId="0" applyFont="1" applyBorder="1" applyAlignment="1">
      <alignment horizontal="right"/>
    </xf>
    <xf numFmtId="0" fontId="34" fillId="4" borderId="0" xfId="0" applyFont="1" applyFill="1" applyAlignment="1">
      <alignment horizontal="center"/>
    </xf>
    <xf numFmtId="0" fontId="33" fillId="0" borderId="0" xfId="0" applyFont="1" applyAlignment="1">
      <alignment horizontal="left"/>
    </xf>
    <xf numFmtId="0" fontId="32" fillId="0" borderId="11" xfId="0" applyFont="1" applyFill="1" applyBorder="1" applyAlignment="1">
      <alignment horizontal="left"/>
    </xf>
    <xf numFmtId="0" fontId="32" fillId="0" borderId="4" xfId="0" applyFont="1" applyFill="1" applyBorder="1" applyAlignment="1">
      <alignment horizontal="left"/>
    </xf>
    <xf numFmtId="0" fontId="0" fillId="0" borderId="0" xfId="0" applyBorder="1" applyAlignment="1">
      <alignment horizontal="left" vertical="top" wrapText="1"/>
    </xf>
    <xf numFmtId="0" fontId="35" fillId="0" borderId="29" xfId="0" applyFont="1" applyBorder="1" applyAlignment="1">
      <alignment horizontal="right"/>
    </xf>
    <xf numFmtId="0" fontId="35" fillId="0" borderId="19" xfId="0" applyFont="1" applyBorder="1" applyAlignment="1">
      <alignment horizontal="right"/>
    </xf>
    <xf numFmtId="0" fontId="35" fillId="0" borderId="20" xfId="0" applyFont="1" applyBorder="1" applyAlignment="1">
      <alignment horizontal="right"/>
    </xf>
    <xf numFmtId="0" fontId="0" fillId="0" borderId="11" xfId="0" applyBorder="1" applyAlignment="1">
      <alignment horizontal="left"/>
    </xf>
    <xf numFmtId="9" fontId="5" fillId="0" borderId="4" xfId="0" applyNumberFormat="1" applyFont="1" applyFill="1" applyBorder="1" applyAlignment="1">
      <alignment horizontal="right" vertical="center"/>
    </xf>
    <xf numFmtId="0" fontId="0" fillId="0" borderId="35" xfId="0" applyBorder="1" applyAlignment="1">
      <alignment horizontal="left" wrapText="1"/>
    </xf>
    <xf numFmtId="0" fontId="0" fillId="0" borderId="22" xfId="0" applyBorder="1" applyAlignment="1">
      <alignment horizontal="left" wrapText="1"/>
    </xf>
    <xf numFmtId="0" fontId="0" fillId="0" borderId="36" xfId="0" applyBorder="1" applyAlignment="1">
      <alignment horizontal="left" wrapText="1"/>
    </xf>
    <xf numFmtId="0" fontId="36" fillId="0" borderId="37" xfId="0" applyFont="1" applyBorder="1" applyAlignment="1">
      <alignment horizontal="left"/>
    </xf>
    <xf numFmtId="0" fontId="36" fillId="0" borderId="38" xfId="0" applyFont="1" applyBorder="1" applyAlignment="1">
      <alignment horizontal="left"/>
    </xf>
    <xf numFmtId="0" fontId="36" fillId="0" borderId="39" xfId="0" applyFont="1" applyBorder="1" applyAlignment="1">
      <alignment horizontal="left"/>
    </xf>
    <xf numFmtId="0" fontId="0" fillId="0" borderId="40" xfId="0" applyBorder="1" applyAlignment="1">
      <alignment horizontal="right"/>
    </xf>
    <xf numFmtId="0" fontId="0" fillId="0" borderId="41" xfId="0" applyBorder="1" applyAlignment="1">
      <alignment horizontal="right"/>
    </xf>
    <xf numFmtId="0" fontId="0" fillId="0" borderId="42" xfId="0" applyBorder="1" applyAlignment="1">
      <alignment horizontal="right"/>
    </xf>
    <xf numFmtId="0" fontId="0" fillId="0" borderId="13" xfId="0" applyBorder="1" applyAlignment="1">
      <alignment horizontal="left"/>
    </xf>
    <xf numFmtId="0" fontId="0" fillId="0" borderId="0" xfId="0" applyFont="1" applyAlignment="1">
      <alignment horizontal="left" wrapText="1"/>
    </xf>
    <xf numFmtId="0" fontId="0" fillId="0" borderId="0" xfId="0" applyFont="1" applyAlignment="1">
      <alignment horizontal="left" vertical="top" wrapText="1"/>
    </xf>
    <xf numFmtId="0" fontId="2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xf>
    <xf numFmtId="0" fontId="0" fillId="0" borderId="0" xfId="0" applyFont="1" applyAlignment="1">
      <alignment wrapText="1"/>
    </xf>
    <xf numFmtId="0" fontId="0" fillId="0" borderId="0" xfId="0" applyAlignment="1">
      <alignment wrapText="1"/>
    </xf>
    <xf numFmtId="0" fontId="25" fillId="0" borderId="0" xfId="0" applyFont="1" applyAlignment="1">
      <alignment horizontal="left" wrapText="1"/>
    </xf>
    <xf numFmtId="1" fontId="21" fillId="3" borderId="6" xfId="0" applyNumberFormat="1" applyFont="1" applyFill="1" applyBorder="1" applyAlignment="1">
      <alignment horizontal="left" vertical="top" wrapText="1"/>
    </xf>
    <xf numFmtId="1" fontId="21" fillId="3" borderId="0" xfId="0" applyNumberFormat="1" applyFont="1" applyFill="1" applyBorder="1" applyAlignment="1">
      <alignment horizontal="left" vertical="top" wrapText="1"/>
    </xf>
    <xf numFmtId="1" fontId="21" fillId="3" borderId="8" xfId="0" applyNumberFormat="1"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21" xfId="0"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6" xfId="0" applyFont="1" applyFill="1" applyBorder="1" applyAlignment="1">
      <alignment vertical="top" wrapText="1"/>
    </xf>
    <xf numFmtId="0" fontId="20" fillId="3" borderId="0" xfId="0" applyFont="1" applyFill="1" applyBorder="1" applyAlignment="1">
      <alignment vertical="top" wrapText="1"/>
    </xf>
    <xf numFmtId="0" fontId="20" fillId="3" borderId="8" xfId="0" applyFont="1" applyFill="1" applyBorder="1" applyAlignment="1">
      <alignment vertical="top" wrapText="1"/>
    </xf>
    <xf numFmtId="0" fontId="20" fillId="3" borderId="21" xfId="0" applyFont="1" applyFill="1" applyBorder="1" applyAlignment="1">
      <alignment vertical="top" wrapText="1"/>
    </xf>
    <xf numFmtId="0" fontId="20" fillId="3" borderId="22" xfId="0" applyFont="1" applyFill="1" applyBorder="1" applyAlignment="1">
      <alignment vertical="top" wrapText="1"/>
    </xf>
    <xf numFmtId="0" fontId="20" fillId="3" borderId="23" xfId="0" applyFont="1" applyFill="1" applyBorder="1" applyAlignment="1">
      <alignment vertical="top" wrapText="1"/>
    </xf>
    <xf numFmtId="0" fontId="0" fillId="0" borderId="8"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31" xfId="0" applyFill="1" applyBorder="1" applyAlignment="1">
      <alignment horizontal="left"/>
    </xf>
    <xf numFmtId="0" fontId="0" fillId="0" borderId="30" xfId="0" applyFill="1" applyBorder="1" applyAlignment="1">
      <alignment horizontal="left"/>
    </xf>
    <xf numFmtId="0" fontId="0" fillId="0" borderId="14" xfId="0" applyFill="1" applyBorder="1" applyAlignment="1">
      <alignment horizontal="left"/>
    </xf>
    <xf numFmtId="0" fontId="0" fillId="0" borderId="43" xfId="0" applyFont="1" applyFill="1" applyBorder="1" applyAlignment="1">
      <alignment wrapText="1"/>
    </xf>
    <xf numFmtId="0" fontId="0" fillId="0" borderId="44" xfId="0" applyFont="1" applyFill="1" applyBorder="1" applyAlignment="1">
      <alignment wrapText="1"/>
    </xf>
    <xf numFmtId="0" fontId="0" fillId="0" borderId="45" xfId="0" applyFont="1" applyFill="1" applyBorder="1" applyAlignment="1">
      <alignment wrapText="1"/>
    </xf>
    <xf numFmtId="0" fontId="0" fillId="0" borderId="46" xfId="0" applyFont="1" applyFill="1" applyBorder="1" applyAlignment="1">
      <alignment wrapText="1"/>
    </xf>
    <xf numFmtId="0" fontId="0" fillId="0" borderId="0" xfId="0" applyFont="1" applyFill="1" applyAlignment="1">
      <alignment wrapText="1"/>
    </xf>
    <xf numFmtId="0" fontId="0" fillId="0" borderId="2" xfId="0" applyFont="1" applyFill="1" applyBorder="1" applyAlignment="1">
      <alignment wrapText="1"/>
    </xf>
    <xf numFmtId="0" fontId="0" fillId="0" borderId="47" xfId="0" applyFont="1" applyFill="1" applyBorder="1" applyAlignment="1">
      <alignment wrapText="1"/>
    </xf>
    <xf numFmtId="0" fontId="0" fillId="0" borderId="3" xfId="0" applyFont="1" applyFill="1" applyBorder="1" applyAlignment="1">
      <alignment wrapText="1"/>
    </xf>
    <xf numFmtId="0" fontId="0" fillId="0" borderId="48" xfId="0" applyFont="1" applyFill="1" applyBorder="1" applyAlignment="1">
      <alignment wrapText="1"/>
    </xf>
    <xf numFmtId="0" fontId="37" fillId="0" borderId="0" xfId="20" applyFont="1" applyAlignment="1">
      <alignment horizontal="left"/>
    </xf>
    <xf numFmtId="0" fontId="25" fillId="6" borderId="0" xfId="0" applyFont="1" applyFill="1" applyAlignment="1">
      <alignment horizontal="center"/>
    </xf>
    <xf numFmtId="1" fontId="26" fillId="6" borderId="4" xfId="0" applyNumberFormat="1" applyFont="1" applyFill="1" applyBorder="1" applyAlignment="1">
      <alignment/>
    </xf>
    <xf numFmtId="0" fontId="26" fillId="6" borderId="4" xfId="0" applyFont="1" applyFill="1" applyBorder="1" applyAlignment="1">
      <alignment horizontal="center"/>
    </xf>
    <xf numFmtId="0" fontId="5" fillId="6" borderId="14" xfId="0" applyFont="1" applyFill="1" applyBorder="1" applyAlignment="1" applyProtection="1">
      <alignment/>
      <protection locked="0"/>
    </xf>
    <xf numFmtId="9" fontId="5" fillId="6" borderId="14" xfId="21" applyFont="1" applyFill="1" applyBorder="1" applyAlignment="1" applyProtection="1">
      <alignment/>
      <protection locked="0"/>
    </xf>
    <xf numFmtId="9" fontId="0" fillId="7" borderId="4" xfId="21" applyFill="1" applyBorder="1" applyAlignment="1" applyProtection="1">
      <alignment/>
      <protection/>
    </xf>
    <xf numFmtId="0" fontId="5" fillId="6" borderId="4" xfId="0" applyFont="1" applyFill="1" applyBorder="1" applyAlignment="1">
      <alignment/>
    </xf>
    <xf numFmtId="9" fontId="5" fillId="6" borderId="4" xfId="21" applyFont="1" applyFill="1" applyBorder="1" applyAlignment="1">
      <alignment/>
    </xf>
    <xf numFmtId="9" fontId="5" fillId="6" borderId="4" xfId="0" applyNumberFormat="1" applyFont="1" applyFill="1" applyBorder="1" applyAlignment="1">
      <alignment horizontal="right" vertical="center"/>
    </xf>
    <xf numFmtId="0" fontId="40" fillId="0" borderId="4" xfId="0" applyFont="1" applyBorder="1" applyAlignment="1">
      <alignment horizontal="right"/>
    </xf>
    <xf numFmtId="0" fontId="40" fillId="0" borderId="13" xfId="0" applyFont="1" applyBorder="1" applyAlignment="1">
      <alignment horizontal="right"/>
    </xf>
    <xf numFmtId="0" fontId="41" fillId="0" borderId="0" xfId="0" applyFont="1" applyAlignment="1">
      <alignment/>
    </xf>
    <xf numFmtId="9" fontId="5" fillId="6" borderId="27" xfId="21" applyFont="1" applyFill="1" applyBorder="1" applyAlignment="1" applyProtection="1">
      <alignment/>
      <protection locked="0"/>
    </xf>
    <xf numFmtId="1" fontId="5" fillId="6" borderId="27" xfId="21" applyNumberFormat="1" applyFont="1" applyFill="1" applyBorder="1" applyAlignment="1" applyProtection="1">
      <alignment/>
      <protection locked="0"/>
    </xf>
    <xf numFmtId="1" fontId="5" fillId="6" borderId="28" xfId="21" applyNumberFormat="1" applyFont="1" applyFill="1" applyBorder="1" applyAlignment="1" applyProtection="1">
      <alignment/>
      <protection locked="0"/>
    </xf>
    <xf numFmtId="9" fontId="5" fillId="6" borderId="28" xfId="21" applyFont="1" applyFill="1" applyBorder="1" applyAlignment="1" applyProtection="1">
      <alignment/>
      <protection locked="0"/>
    </xf>
    <xf numFmtId="0" fontId="43" fillId="0" borderId="0" xfId="0" applyFont="1" applyAlignment="1">
      <alignment/>
    </xf>
    <xf numFmtId="0" fontId="26" fillId="6" borderId="4" xfId="0" applyFont="1" applyFill="1" applyBorder="1" applyAlignment="1">
      <alignment/>
    </xf>
    <xf numFmtId="0" fontId="26" fillId="6" borderId="4" xfId="0" applyFont="1" applyFill="1" applyBorder="1" applyAlignment="1">
      <alignment horizontal="right"/>
    </xf>
    <xf numFmtId="9" fontId="26" fillId="6" borderId="4" xfId="21" applyFont="1" applyFill="1" applyBorder="1" applyAlignment="1">
      <alignment/>
    </xf>
    <xf numFmtId="0" fontId="42" fillId="0" borderId="0" xfId="0" applyFont="1" applyAlignment="1">
      <alignment/>
    </xf>
    <xf numFmtId="1" fontId="26" fillId="6" borderId="4" xfId="21" applyNumberFormat="1" applyFont="1" applyFill="1" applyBorder="1" applyAlignment="1">
      <alignment/>
    </xf>
    <xf numFmtId="0" fontId="43" fillId="3" borderId="49" xfId="0" applyFont="1" applyFill="1" applyBorder="1" applyAlignment="1">
      <alignment/>
    </xf>
    <xf numFmtId="0" fontId="41" fillId="3" borderId="49" xfId="0" applyFont="1" applyFill="1" applyBorder="1" applyAlignment="1">
      <alignment horizontal="left"/>
    </xf>
    <xf numFmtId="0" fontId="44" fillId="0" borderId="0" xfId="20" applyFont="1" applyFill="1" applyBorder="1" applyAlignment="1">
      <alignment horizontal="left"/>
    </xf>
    <xf numFmtId="1" fontId="44" fillId="0" borderId="0" xfId="20" applyNumberFormat="1" applyFont="1" applyFill="1" applyBorder="1" applyAlignment="1">
      <alignment horizontal="lef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32">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46">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18">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14">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438150</xdr:colOff>
      <xdr:row>2</xdr:row>
      <xdr:rowOff>123825</xdr:rowOff>
    </xdr:to>
    <xdr:pic>
      <xdr:nvPicPr>
        <xdr:cNvPr id="1" name="Picture 2">
          <a:hlinkClick r:id="rId3"/>
        </xdr:cNvPr>
        <xdr:cNvPicPr preferRelativeResize="1">
          <a:picLocks noChangeAspect="1"/>
        </xdr:cNvPicPr>
      </xdr:nvPicPr>
      <xdr:blipFill>
        <a:blip r:embed="rId1"/>
        <a:stretch>
          <a:fillRect/>
        </a:stretch>
      </xdr:blipFill>
      <xdr:spPr>
        <a:xfrm>
          <a:off x="133350" y="104775"/>
          <a:ext cx="3048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5:P45"/>
  <sheetViews>
    <sheetView showGridLines="0" tabSelected="1" workbookViewId="0" topLeftCell="A1">
      <selection activeCell="N14" sqref="N14"/>
    </sheetView>
  </sheetViews>
  <sheetFormatPr defaultColWidth="9.140625" defaultRowHeight="12.75"/>
  <cols>
    <col min="2" max="2" width="23.7109375" style="0" customWidth="1"/>
  </cols>
  <sheetData>
    <row r="5" spans="5:16" ht="15">
      <c r="E5" s="2" t="s">
        <v>0</v>
      </c>
      <c r="I5" s="5"/>
      <c r="J5" s="5"/>
      <c r="K5" s="5"/>
      <c r="L5" s="5"/>
      <c r="M5" s="5"/>
      <c r="N5" s="5"/>
      <c r="O5" s="5"/>
      <c r="P5" s="5"/>
    </row>
    <row r="6" spans="5:16" ht="15">
      <c r="E6" s="2" t="s">
        <v>201</v>
      </c>
      <c r="I6" s="5"/>
      <c r="J6" s="5"/>
      <c r="K6" s="5"/>
      <c r="L6" s="5"/>
      <c r="M6" s="5"/>
      <c r="N6" s="5"/>
      <c r="O6" s="5"/>
      <c r="P6" s="5"/>
    </row>
    <row r="7" spans="5:16" ht="15">
      <c r="E7" s="2"/>
      <c r="I7" s="5"/>
      <c r="J7" s="5"/>
      <c r="K7" s="5"/>
      <c r="L7" s="5"/>
      <c r="M7" s="5"/>
      <c r="N7" s="5"/>
      <c r="O7" s="5"/>
      <c r="P7" s="5"/>
    </row>
    <row r="8" spans="2:9" ht="8.25" customHeight="1" thickBot="1">
      <c r="B8" s="7"/>
      <c r="C8" s="7"/>
      <c r="D8" s="7"/>
      <c r="E8" s="7"/>
      <c r="F8" s="7"/>
      <c r="G8" s="7"/>
      <c r="H8" s="7"/>
      <c r="I8" s="7"/>
    </row>
    <row r="9" spans="1:9" ht="12.75">
      <c r="A9" s="6"/>
      <c r="B9" s="234" t="s">
        <v>194</v>
      </c>
      <c r="C9" s="235"/>
      <c r="D9" s="235"/>
      <c r="E9" s="235"/>
      <c r="F9" s="235"/>
      <c r="G9" s="235"/>
      <c r="H9" s="235"/>
      <c r="I9" s="236"/>
    </row>
    <row r="10" spans="1:9" ht="12.75">
      <c r="A10" s="6"/>
      <c r="B10" s="237"/>
      <c r="C10" s="238"/>
      <c r="D10" s="238"/>
      <c r="E10" s="238"/>
      <c r="F10" s="238"/>
      <c r="G10" s="238"/>
      <c r="H10" s="238"/>
      <c r="I10" s="239"/>
    </row>
    <row r="11" spans="2:9" ht="13.5" thickBot="1">
      <c r="B11" s="240"/>
      <c r="C11" s="241"/>
      <c r="D11" s="241"/>
      <c r="E11" s="241"/>
      <c r="F11" s="241"/>
      <c r="G11" s="241"/>
      <c r="H11" s="241"/>
      <c r="I11" s="242"/>
    </row>
    <row r="12" ht="7.5" customHeight="1"/>
    <row r="13" ht="15.75">
      <c r="A13" s="270" t="s">
        <v>1</v>
      </c>
    </row>
    <row r="14" spans="2:9" ht="12.75">
      <c r="B14" s="243" t="s">
        <v>195</v>
      </c>
      <c r="C14" s="243"/>
      <c r="D14" s="243"/>
      <c r="E14" s="243"/>
      <c r="F14" s="243"/>
      <c r="G14" s="243"/>
      <c r="H14" s="243"/>
      <c r="I14" s="243"/>
    </row>
    <row r="15" spans="2:9" ht="12.75">
      <c r="B15" s="243" t="s">
        <v>196</v>
      </c>
      <c r="C15" s="243"/>
      <c r="D15" s="243"/>
      <c r="E15" s="243"/>
      <c r="F15" s="243"/>
      <c r="G15" s="243"/>
      <c r="H15" s="243"/>
      <c r="I15" s="243"/>
    </row>
    <row r="16" spans="2:9" ht="12.75">
      <c r="B16" s="243" t="s">
        <v>197</v>
      </c>
      <c r="C16" s="243"/>
      <c r="D16" s="243"/>
      <c r="E16" s="243"/>
      <c r="F16" s="243"/>
      <c r="G16" s="243"/>
      <c r="H16" s="243"/>
      <c r="I16" s="243"/>
    </row>
    <row r="17" spans="2:9" ht="12.75">
      <c r="B17" s="243" t="s">
        <v>193</v>
      </c>
      <c r="C17" s="243"/>
      <c r="D17" s="243"/>
      <c r="E17" s="243"/>
      <c r="F17" s="243"/>
      <c r="G17" s="243"/>
      <c r="H17" s="116"/>
      <c r="I17" s="116"/>
    </row>
    <row r="18" ht="11.25" customHeight="1"/>
    <row r="19" ht="12.75">
      <c r="B19" s="10" t="s">
        <v>23</v>
      </c>
    </row>
    <row r="20" ht="12.75">
      <c r="B20" s="10" t="s">
        <v>24</v>
      </c>
    </row>
    <row r="21" spans="2:4" ht="12.75">
      <c r="B21" s="10" t="s">
        <v>25</v>
      </c>
      <c r="C21" s="244" t="s">
        <v>198</v>
      </c>
      <c r="D21" t="s">
        <v>22</v>
      </c>
    </row>
    <row r="22" spans="2:3" ht="12.75">
      <c r="B22" s="10" t="s">
        <v>126</v>
      </c>
      <c r="C22" s="71"/>
    </row>
    <row r="23" ht="9" customHeight="1"/>
    <row r="24" spans="1:4" ht="15.75">
      <c r="A24" s="270" t="s">
        <v>202</v>
      </c>
      <c r="C24" s="9" t="s">
        <v>26</v>
      </c>
      <c r="D24" t="s">
        <v>27</v>
      </c>
    </row>
    <row r="25" spans="2:10" ht="14.25">
      <c r="B25" s="11" t="s">
        <v>2</v>
      </c>
      <c r="C25" s="134" t="s">
        <v>13</v>
      </c>
      <c r="D25" s="135"/>
      <c r="E25" s="135"/>
      <c r="F25" s="135"/>
      <c r="G25" s="135"/>
      <c r="H25" s="135"/>
      <c r="I25" s="135"/>
      <c r="J25" s="136"/>
    </row>
    <row r="26" spans="2:10" ht="14.25">
      <c r="B26" s="11" t="s">
        <v>4</v>
      </c>
      <c r="C26" s="134" t="s">
        <v>119</v>
      </c>
      <c r="D26" s="135"/>
      <c r="E26" s="135"/>
      <c r="F26" s="135"/>
      <c r="G26" s="135"/>
      <c r="H26" s="135"/>
      <c r="I26" s="135"/>
      <c r="J26" s="136"/>
    </row>
    <row r="27" spans="2:10" ht="12.75">
      <c r="B27" s="131" t="s">
        <v>3</v>
      </c>
      <c r="C27" s="132" t="s">
        <v>14</v>
      </c>
      <c r="D27" s="133"/>
      <c r="E27" s="133"/>
      <c r="F27" s="133"/>
      <c r="G27" s="133"/>
      <c r="H27" s="133"/>
      <c r="I27" s="133"/>
      <c r="J27" s="133"/>
    </row>
    <row r="28" spans="2:10" ht="12.75">
      <c r="B28" s="131"/>
      <c r="C28" s="133"/>
      <c r="D28" s="133"/>
      <c r="E28" s="133"/>
      <c r="F28" s="133"/>
      <c r="G28" s="133"/>
      <c r="H28" s="133"/>
      <c r="I28" s="133"/>
      <c r="J28" s="133"/>
    </row>
    <row r="29" spans="2:10" ht="14.25">
      <c r="B29" s="11" t="s">
        <v>120</v>
      </c>
      <c r="C29" s="134" t="s">
        <v>15</v>
      </c>
      <c r="D29" s="135"/>
      <c r="E29" s="135"/>
      <c r="F29" s="135"/>
      <c r="G29" s="135"/>
      <c r="H29" s="135"/>
      <c r="I29" s="135"/>
      <c r="J29" s="136"/>
    </row>
    <row r="30" spans="2:10" ht="14.25">
      <c r="B30" s="11" t="s">
        <v>5</v>
      </c>
      <c r="C30" s="134" t="s">
        <v>16</v>
      </c>
      <c r="D30" s="135"/>
      <c r="E30" s="135"/>
      <c r="F30" s="135"/>
      <c r="G30" s="135"/>
      <c r="H30" s="135"/>
      <c r="I30" s="135"/>
      <c r="J30" s="136"/>
    </row>
    <row r="31" spans="2:10" ht="14.25">
      <c r="B31" s="11" t="s">
        <v>6</v>
      </c>
      <c r="C31" s="134" t="s">
        <v>17</v>
      </c>
      <c r="D31" s="135"/>
      <c r="E31" s="135"/>
      <c r="F31" s="135"/>
      <c r="G31" s="135"/>
      <c r="H31" s="135"/>
      <c r="I31" s="135"/>
      <c r="J31" s="136"/>
    </row>
    <row r="32" ht="6" customHeight="1"/>
    <row r="33" ht="15.75">
      <c r="A33" s="270" t="s">
        <v>7</v>
      </c>
    </row>
    <row r="34" spans="2:10" ht="14.25" customHeight="1">
      <c r="B34" s="129" t="s">
        <v>8</v>
      </c>
      <c r="C34" s="130" t="s">
        <v>121</v>
      </c>
      <c r="D34" s="130"/>
      <c r="E34" s="130"/>
      <c r="F34" s="130"/>
      <c r="G34" s="130"/>
      <c r="H34" s="130"/>
      <c r="I34" s="130"/>
      <c r="J34" s="130"/>
    </row>
    <row r="35" spans="2:10" ht="12.75">
      <c r="B35" s="129"/>
      <c r="C35" s="130"/>
      <c r="D35" s="130"/>
      <c r="E35" s="130"/>
      <c r="F35" s="130"/>
      <c r="G35" s="130"/>
      <c r="H35" s="130"/>
      <c r="I35" s="130"/>
      <c r="J35" s="130"/>
    </row>
    <row r="36" spans="2:10" ht="14.25" customHeight="1">
      <c r="B36" s="129" t="s">
        <v>9</v>
      </c>
      <c r="C36" s="130" t="s">
        <v>18</v>
      </c>
      <c r="D36" s="130"/>
      <c r="E36" s="130"/>
      <c r="F36" s="130"/>
      <c r="G36" s="130"/>
      <c r="H36" s="130"/>
      <c r="I36" s="130"/>
      <c r="J36" s="130"/>
    </row>
    <row r="37" spans="2:10" ht="12.75">
      <c r="B37" s="129"/>
      <c r="C37" s="130"/>
      <c r="D37" s="130"/>
      <c r="E37" s="130"/>
      <c r="F37" s="130"/>
      <c r="G37" s="130"/>
      <c r="H37" s="130"/>
      <c r="I37" s="130"/>
      <c r="J37" s="130"/>
    </row>
    <row r="38" spans="2:10" ht="14.25">
      <c r="B38" s="11" t="s">
        <v>10</v>
      </c>
      <c r="C38" s="134" t="s">
        <v>19</v>
      </c>
      <c r="D38" s="135"/>
      <c r="E38" s="135"/>
      <c r="F38" s="135"/>
      <c r="G38" s="135"/>
      <c r="H38" s="135"/>
      <c r="I38" s="135"/>
      <c r="J38" s="136"/>
    </row>
    <row r="39" spans="2:10" ht="12.75">
      <c r="B39" s="137" t="s">
        <v>11</v>
      </c>
      <c r="C39" s="132" t="s">
        <v>20</v>
      </c>
      <c r="D39" s="133"/>
      <c r="E39" s="133"/>
      <c r="F39" s="133"/>
      <c r="G39" s="133"/>
      <c r="H39" s="133"/>
      <c r="I39" s="133"/>
      <c r="J39" s="133"/>
    </row>
    <row r="40" spans="2:10" ht="12.75">
      <c r="B40" s="137"/>
      <c r="C40" s="133"/>
      <c r="D40" s="133"/>
      <c r="E40" s="133"/>
      <c r="F40" s="133"/>
      <c r="G40" s="133"/>
      <c r="H40" s="133"/>
      <c r="I40" s="133"/>
      <c r="J40" s="133"/>
    </row>
    <row r="41" spans="2:10" ht="14.25">
      <c r="B41" s="11" t="s">
        <v>12</v>
      </c>
      <c r="C41" s="134" t="s">
        <v>21</v>
      </c>
      <c r="D41" s="135"/>
      <c r="E41" s="135"/>
      <c r="F41" s="135"/>
      <c r="G41" s="135"/>
      <c r="H41" s="135"/>
      <c r="I41" s="135"/>
      <c r="J41" s="136"/>
    </row>
    <row r="43" ht="12.75">
      <c r="B43" s="5"/>
    </row>
    <row r="44" ht="12.75">
      <c r="B44" s="5"/>
    </row>
    <row r="45" ht="12.75">
      <c r="B45" s="5"/>
    </row>
  </sheetData>
  <mergeCells count="20">
    <mergeCell ref="B17:G17"/>
    <mergeCell ref="C41:J41"/>
    <mergeCell ref="C31:J31"/>
    <mergeCell ref="C30:J30"/>
    <mergeCell ref="C29:J29"/>
    <mergeCell ref="C38:J38"/>
    <mergeCell ref="B36:B37"/>
    <mergeCell ref="C36:J37"/>
    <mergeCell ref="B39:B40"/>
    <mergeCell ref="C39:J40"/>
    <mergeCell ref="B9:I11"/>
    <mergeCell ref="B34:B35"/>
    <mergeCell ref="C34:J35"/>
    <mergeCell ref="B27:B28"/>
    <mergeCell ref="C27:J28"/>
    <mergeCell ref="C25:J25"/>
    <mergeCell ref="C26:J26"/>
    <mergeCell ref="B14:I14"/>
    <mergeCell ref="B15:I15"/>
    <mergeCell ref="B16:I16"/>
  </mergeCells>
  <hyperlinks>
    <hyperlink ref="B15" location="'InfoView (Read Refresh)'!A1" tooltip="Enter information for end users" display="2. Click on the InfoView tab to enter end user sizing info"/>
    <hyperlink ref="B16" location="'BusObj &amp; WebI (Edit Create)'!A1" tooltip="Enter information for power users" display="3. Click on the BusObj and WebI (edit create) tab to enter power user sizing info"/>
    <hyperlink ref="C24" location="Glossary!A1" tooltip="Click here for more information on terms &amp; definitions" display="Glossary "/>
    <hyperlink ref="B17:G17" location="'Dashboard Mgr (End User)'!A1" display="4. Click on the Dashboard Mgr tab to enter DM user sizing info"/>
    <hyperlink ref="B14" location="Parameters!A1" tooltip="Modify environment and BusObj application parameters" display="1. Click on the Parameters tab and set environment information and assumptions"/>
  </hyperlinks>
  <printOptions/>
  <pageMargins left="0.4" right="0.4" top="0.5" bottom="0.63" header="0.35" footer="0.34"/>
  <pageSetup horizontalDpi="600" verticalDpi="600" orientation="landscape" r:id="rId1"/>
  <headerFooter alignWithMargins="0">
    <oddFooter>&amp;L&amp;D&amp;C(c) 2003 Business Objects SA Confidential&amp;RPage &amp;P</oddFooter>
  </headerFooter>
</worksheet>
</file>

<file path=xl/worksheets/sheet10.xml><?xml version="1.0" encoding="utf-8"?>
<worksheet xmlns="http://schemas.openxmlformats.org/spreadsheetml/2006/main" xmlns:r="http://schemas.openxmlformats.org/officeDocument/2006/relationships">
  <sheetPr>
    <tabColor indexed="48"/>
  </sheetPr>
  <dimension ref="A1:M29"/>
  <sheetViews>
    <sheetView showGridLines="0" workbookViewId="0" topLeftCell="A1">
      <selection activeCell="A24" sqref="A24"/>
    </sheetView>
  </sheetViews>
  <sheetFormatPr defaultColWidth="9.140625" defaultRowHeight="12.75"/>
  <cols>
    <col min="3" max="3" width="9.7109375" style="0" customWidth="1"/>
    <col min="4" max="4" width="9.57421875" style="0" customWidth="1"/>
    <col min="6" max="6" width="4.140625" style="0" customWidth="1"/>
    <col min="9" max="9" width="7.140625" style="0" customWidth="1"/>
    <col min="10" max="10" width="7.421875" style="0" customWidth="1"/>
    <col min="12" max="12" width="7.7109375" style="0" customWidth="1"/>
    <col min="13" max="13" width="6.421875" style="0" customWidth="1"/>
  </cols>
  <sheetData>
    <row r="1" ht="12.75">
      <c r="A1" s="37"/>
    </row>
    <row r="2" spans="4:11" ht="15">
      <c r="D2" s="148" t="s">
        <v>28</v>
      </c>
      <c r="E2" s="148"/>
      <c r="F2" s="148"/>
      <c r="G2" s="148"/>
      <c r="H2" s="148"/>
      <c r="I2" s="148"/>
      <c r="J2" s="148"/>
      <c r="K2" s="148"/>
    </row>
    <row r="3" spans="4:11" ht="14.25">
      <c r="D3" s="149" t="s">
        <v>45</v>
      </c>
      <c r="E3" s="149"/>
      <c r="F3" s="149"/>
      <c r="G3" s="149"/>
      <c r="H3" s="149"/>
      <c r="I3" s="149"/>
      <c r="J3" s="149"/>
      <c r="K3" s="149"/>
    </row>
    <row r="4" spans="4:11" ht="14.25">
      <c r="D4" s="13"/>
      <c r="E4" s="13"/>
      <c r="F4" s="13"/>
      <c r="G4" s="13"/>
      <c r="H4" s="13"/>
      <c r="I4" s="13"/>
      <c r="J4" s="13"/>
      <c r="K4" s="13"/>
    </row>
    <row r="6" ht="15.75">
      <c r="A6" s="255" t="s">
        <v>37</v>
      </c>
    </row>
    <row r="7" spans="2:5" ht="12.75">
      <c r="B7" s="145" t="s">
        <v>38</v>
      </c>
      <c r="C7" s="145"/>
      <c r="D7" s="145"/>
      <c r="E7" s="261">
        <v>20</v>
      </c>
    </row>
    <row r="8" spans="2:5" ht="12.75">
      <c r="B8" s="145" t="s">
        <v>39</v>
      </c>
      <c r="C8" s="145"/>
      <c r="D8" s="145"/>
      <c r="E8" s="261">
        <v>30</v>
      </c>
    </row>
    <row r="9" spans="2:6" ht="12.75">
      <c r="B9" s="145" t="s">
        <v>40</v>
      </c>
      <c r="C9" s="145"/>
      <c r="D9" s="145"/>
      <c r="E9" s="261">
        <v>256</v>
      </c>
      <c r="F9" t="s">
        <v>34</v>
      </c>
    </row>
    <row r="10" spans="2:6" ht="12.75">
      <c r="B10" s="145" t="s">
        <v>41</v>
      </c>
      <c r="C10" s="145"/>
      <c r="D10" s="145"/>
      <c r="E10" s="261">
        <v>10</v>
      </c>
      <c r="F10" t="s">
        <v>34</v>
      </c>
    </row>
    <row r="11" spans="2:6" ht="12.75">
      <c r="B11" s="152" t="s">
        <v>42</v>
      </c>
      <c r="C11" s="152"/>
      <c r="D11" s="152"/>
      <c r="E11" s="262">
        <v>30</v>
      </c>
      <c r="F11" s="146" t="s">
        <v>34</v>
      </c>
    </row>
    <row r="12" spans="2:6" ht="12.75">
      <c r="B12" s="152"/>
      <c r="C12" s="152"/>
      <c r="D12" s="152"/>
      <c r="E12" s="262"/>
      <c r="F12" s="146"/>
    </row>
    <row r="13" spans="2:6" ht="12.75">
      <c r="B13" s="133" t="s">
        <v>43</v>
      </c>
      <c r="C13" s="133"/>
      <c r="D13" s="133"/>
      <c r="E13" s="262">
        <v>20</v>
      </c>
      <c r="F13" s="146" t="s">
        <v>34</v>
      </c>
    </row>
    <row r="14" spans="2:6" ht="12.75">
      <c r="B14" s="133"/>
      <c r="C14" s="133"/>
      <c r="D14" s="133"/>
      <c r="E14" s="262"/>
      <c r="F14" s="146"/>
    </row>
    <row r="15" spans="2:5" ht="12.75">
      <c r="B15" s="138" t="s">
        <v>164</v>
      </c>
      <c r="C15" s="139"/>
      <c r="D15" s="140"/>
      <c r="E15" s="263">
        <v>0.9</v>
      </c>
    </row>
    <row r="16" spans="1:6" ht="15.75">
      <c r="A16" s="12"/>
      <c r="B16" s="138" t="s">
        <v>169</v>
      </c>
      <c r="C16" s="139"/>
      <c r="D16" s="140"/>
      <c r="E16" s="261">
        <v>1024</v>
      </c>
      <c r="F16" t="s">
        <v>170</v>
      </c>
    </row>
    <row r="17" ht="15.75">
      <c r="A17" s="12"/>
    </row>
    <row r="18" spans="1:4" ht="15.75">
      <c r="A18" s="255" t="s">
        <v>124</v>
      </c>
      <c r="B18" s="12"/>
      <c r="C18" s="12"/>
      <c r="D18" s="12"/>
    </row>
    <row r="19" spans="2:13" ht="12.75">
      <c r="B19" s="127" t="s">
        <v>58</v>
      </c>
      <c r="C19" s="127"/>
      <c r="D19" s="144" t="s">
        <v>59</v>
      </c>
      <c r="E19" s="144"/>
      <c r="F19" s="144"/>
      <c r="G19" s="144"/>
      <c r="H19" s="144"/>
      <c r="I19" s="144"/>
      <c r="J19" s="144"/>
      <c r="K19" s="144"/>
      <c r="L19" s="144"/>
      <c r="M19" s="144"/>
    </row>
    <row r="20" spans="2:13" ht="12.75">
      <c r="B20" s="127"/>
      <c r="C20" s="127"/>
      <c r="D20" s="144" t="s">
        <v>60</v>
      </c>
      <c r="E20" s="144"/>
      <c r="F20" s="144"/>
      <c r="G20" s="144"/>
      <c r="H20" s="144"/>
      <c r="I20" s="144"/>
      <c r="J20" s="144"/>
      <c r="K20" s="144"/>
      <c r="L20" s="144"/>
      <c r="M20" s="144"/>
    </row>
    <row r="21" spans="2:13" ht="12.75">
      <c r="B21" s="126" t="s">
        <v>61</v>
      </c>
      <c r="C21" s="126"/>
      <c r="D21" s="144" t="s">
        <v>62</v>
      </c>
      <c r="E21" s="144"/>
      <c r="F21" s="144"/>
      <c r="G21" s="144"/>
      <c r="H21" s="144"/>
      <c r="I21" s="144"/>
      <c r="J21" s="144"/>
      <c r="K21" s="144"/>
      <c r="L21" s="144"/>
      <c r="M21" s="144"/>
    </row>
    <row r="22" spans="2:13" ht="12.75">
      <c r="B22" s="126" t="s">
        <v>63</v>
      </c>
      <c r="C22" s="126"/>
      <c r="D22" s="144" t="s">
        <v>64</v>
      </c>
      <c r="E22" s="144"/>
      <c r="F22" s="144"/>
      <c r="G22" s="144"/>
      <c r="H22" s="144"/>
      <c r="I22" s="144"/>
      <c r="J22" s="144"/>
      <c r="K22" s="144"/>
      <c r="L22" s="144"/>
      <c r="M22" s="144"/>
    </row>
    <row r="23" spans="2:8" ht="13.5" customHeight="1">
      <c r="B23" s="33"/>
      <c r="C23" s="4"/>
      <c r="D23" s="32"/>
      <c r="E23" s="5"/>
      <c r="F23" s="5"/>
      <c r="G23" s="5"/>
      <c r="H23" s="31"/>
    </row>
    <row r="24" spans="1:8" ht="12.75">
      <c r="A24" s="264" t="s">
        <v>65</v>
      </c>
      <c r="B24" s="35"/>
      <c r="C24" s="35"/>
      <c r="D24" s="36"/>
      <c r="E24" s="5"/>
      <c r="F24" s="5"/>
      <c r="G24" s="5"/>
      <c r="H24" s="31"/>
    </row>
    <row r="25" spans="2:7" ht="14.25" customHeight="1">
      <c r="B25" s="44"/>
      <c r="C25" s="44"/>
      <c r="E25" s="128" t="s">
        <v>114</v>
      </c>
      <c r="F25" s="123"/>
      <c r="G25" s="119"/>
    </row>
    <row r="26" spans="2:7" ht="12.75">
      <c r="B26" s="72"/>
      <c r="C26" s="44"/>
      <c r="E26" s="120">
        <v>1024</v>
      </c>
      <c r="F26" s="121"/>
      <c r="G26" s="122"/>
    </row>
    <row r="27" spans="2:3" ht="12.75">
      <c r="B27" s="72"/>
      <c r="C27" s="44"/>
    </row>
    <row r="28" spans="2:7" ht="12.75">
      <c r="B28" s="72"/>
      <c r="C28" s="44"/>
      <c r="E28" s="128" t="s">
        <v>118</v>
      </c>
      <c r="F28" s="123"/>
      <c r="G28" s="119"/>
    </row>
    <row r="29" spans="5:7" ht="12.75">
      <c r="E29" s="141">
        <v>512</v>
      </c>
      <c r="F29" s="142"/>
      <c r="G29" s="143"/>
    </row>
  </sheetData>
  <mergeCells count="25">
    <mergeCell ref="E11:E12"/>
    <mergeCell ref="E13:E14"/>
    <mergeCell ref="F11:F12"/>
    <mergeCell ref="F13:F14"/>
    <mergeCell ref="D2:K2"/>
    <mergeCell ref="D3:K3"/>
    <mergeCell ref="B10:D10"/>
    <mergeCell ref="B9:D9"/>
    <mergeCell ref="B8:D8"/>
    <mergeCell ref="B7:D7"/>
    <mergeCell ref="B11:D12"/>
    <mergeCell ref="B13:D14"/>
    <mergeCell ref="B21:C21"/>
    <mergeCell ref="B22:C22"/>
    <mergeCell ref="B19:C20"/>
    <mergeCell ref="D19:M19"/>
    <mergeCell ref="D20:M20"/>
    <mergeCell ref="D21:M21"/>
    <mergeCell ref="B15:D15"/>
    <mergeCell ref="D22:M22"/>
    <mergeCell ref="B16:D16"/>
    <mergeCell ref="E29:G29"/>
    <mergeCell ref="E25:G25"/>
    <mergeCell ref="E26:G26"/>
    <mergeCell ref="E28:G28"/>
  </mergeCells>
  <printOptions/>
  <pageMargins left="0.75" right="0.75" top="0.42" bottom="0.68" header="0.31" footer="0.42"/>
  <pageSetup horizontalDpi="600" verticalDpi="600" orientation="landscape" r:id="rId4"/>
  <headerFooter alignWithMargins="0">
    <oddFooter>&amp;L&amp;D&amp;C(c) 2003 Business Objects SA Confidential&amp;RPage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48"/>
  </sheetPr>
  <dimension ref="A1:N54"/>
  <sheetViews>
    <sheetView showGridLines="0" workbookViewId="0" topLeftCell="A1">
      <selection activeCell="B3" sqref="B3"/>
    </sheetView>
  </sheetViews>
  <sheetFormatPr defaultColWidth="9.140625" defaultRowHeight="12.75"/>
  <cols>
    <col min="2" max="2" width="10.57421875" style="0" customWidth="1"/>
    <col min="3" max="3" width="9.7109375" style="0" customWidth="1"/>
    <col min="4" max="4" width="9.57421875" style="0" customWidth="1"/>
    <col min="6" max="6" width="5.00390625" style="0" customWidth="1"/>
    <col min="9" max="9" width="8.28125" style="0" bestFit="1" customWidth="1"/>
    <col min="10" max="10" width="7.421875" style="0" customWidth="1"/>
    <col min="12" max="12" width="7.7109375" style="0" customWidth="1"/>
    <col min="13" max="13" width="6.421875" style="0" customWidth="1"/>
  </cols>
  <sheetData>
    <row r="1" ht="12.75">
      <c r="A1" s="37"/>
    </row>
    <row r="2" spans="4:11" ht="15">
      <c r="D2" s="148" t="s">
        <v>28</v>
      </c>
      <c r="E2" s="148"/>
      <c r="F2" s="148"/>
      <c r="G2" s="148"/>
      <c r="H2" s="148"/>
      <c r="I2" s="148"/>
      <c r="J2" s="148"/>
      <c r="K2" s="148"/>
    </row>
    <row r="3" spans="4:11" ht="14.25">
      <c r="D3" s="149" t="s">
        <v>200</v>
      </c>
      <c r="E3" s="149"/>
      <c r="F3" s="149"/>
      <c r="G3" s="149"/>
      <c r="H3" s="149"/>
      <c r="I3" s="149"/>
      <c r="J3" s="149"/>
      <c r="K3" s="149"/>
    </row>
    <row r="4" spans="4:11" ht="14.25">
      <c r="D4" s="13"/>
      <c r="E4" s="13"/>
      <c r="F4" s="13"/>
      <c r="G4" s="13"/>
      <c r="H4" s="13"/>
      <c r="I4" s="13"/>
      <c r="J4" s="13"/>
      <c r="K4" s="13"/>
    </row>
    <row r="5" ht="15.75">
      <c r="A5" s="255" t="s">
        <v>29</v>
      </c>
    </row>
    <row r="6" spans="2:7" ht="12.75">
      <c r="B6" s="138" t="s">
        <v>30</v>
      </c>
      <c r="C6" s="139"/>
      <c r="D6" s="140"/>
      <c r="E6" s="245">
        <v>4</v>
      </c>
      <c r="G6" s="16" t="s">
        <v>35</v>
      </c>
    </row>
    <row r="7" spans="2:7" ht="12.75">
      <c r="B7" s="138" t="s">
        <v>31</v>
      </c>
      <c r="C7" s="139"/>
      <c r="D7" s="140"/>
      <c r="E7" s="245">
        <v>4096</v>
      </c>
      <c r="F7" t="s">
        <v>34</v>
      </c>
      <c r="G7" t="s">
        <v>36</v>
      </c>
    </row>
    <row r="9" ht="15.75">
      <c r="A9" s="255" t="s">
        <v>33</v>
      </c>
    </row>
    <row r="10" spans="1:5" ht="12.75">
      <c r="A10" s="34"/>
      <c r="B10" s="138" t="s">
        <v>127</v>
      </c>
      <c r="C10" s="139"/>
      <c r="D10" s="140"/>
      <c r="E10" s="246" t="s">
        <v>130</v>
      </c>
    </row>
    <row r="12" ht="15.75">
      <c r="A12" s="255" t="s">
        <v>32</v>
      </c>
    </row>
    <row r="13" spans="2:5" ht="12.75">
      <c r="B13" s="145" t="s">
        <v>122</v>
      </c>
      <c r="C13" s="145"/>
      <c r="D13" s="145"/>
      <c r="E13" s="246" t="s">
        <v>163</v>
      </c>
    </row>
    <row r="15" spans="1:14" ht="15.75">
      <c r="A15" s="255" t="s">
        <v>133</v>
      </c>
      <c r="G15" s="44"/>
      <c r="H15" s="44"/>
      <c r="I15" s="44"/>
      <c r="J15" s="44"/>
      <c r="K15" s="44"/>
      <c r="L15" s="44"/>
      <c r="M15" s="44"/>
      <c r="N15" s="44"/>
    </row>
    <row r="16" spans="2:14" ht="12.75">
      <c r="B16" s="145" t="s">
        <v>38</v>
      </c>
      <c r="C16" s="145"/>
      <c r="D16" s="145"/>
      <c r="E16" s="74">
        <f>G46</f>
        <v>25</v>
      </c>
      <c r="G16" s="44"/>
      <c r="H16" s="268" t="s">
        <v>134</v>
      </c>
      <c r="I16" s="268"/>
      <c r="J16" s="268"/>
      <c r="K16" s="268"/>
      <c r="L16" s="44"/>
      <c r="M16" s="44"/>
      <c r="N16" s="44"/>
    </row>
    <row r="17" spans="1:14" ht="12.75">
      <c r="A17" s="80"/>
      <c r="B17" s="150" t="s">
        <v>39</v>
      </c>
      <c r="C17" s="150"/>
      <c r="D17" s="150"/>
      <c r="E17" s="74">
        <f>G47</f>
        <v>30</v>
      </c>
      <c r="F17" s="80"/>
      <c r="G17" s="44"/>
      <c r="H17" s="268" t="s">
        <v>135</v>
      </c>
      <c r="I17" s="268"/>
      <c r="J17" s="268"/>
      <c r="K17" s="268"/>
      <c r="L17" s="79"/>
      <c r="M17" s="79"/>
      <c r="N17" s="44"/>
    </row>
    <row r="18" spans="2:14" ht="12.75">
      <c r="B18" s="145" t="s">
        <v>40</v>
      </c>
      <c r="C18" s="145"/>
      <c r="D18" s="145"/>
      <c r="E18" s="74">
        <f>G48</f>
        <v>164</v>
      </c>
      <c r="F18" t="s">
        <v>34</v>
      </c>
      <c r="G18" s="44"/>
      <c r="H18" s="269" t="s">
        <v>136</v>
      </c>
      <c r="I18" s="269"/>
      <c r="J18" s="269"/>
      <c r="K18" s="269"/>
      <c r="L18" s="78"/>
      <c r="M18" s="78"/>
      <c r="N18" s="44"/>
    </row>
    <row r="19" spans="2:14" ht="12.75">
      <c r="B19" s="145" t="s">
        <v>41</v>
      </c>
      <c r="C19" s="145"/>
      <c r="D19" s="145"/>
      <c r="E19" s="74">
        <f>G49</f>
        <v>10</v>
      </c>
      <c r="F19" t="s">
        <v>34</v>
      </c>
      <c r="G19" s="44"/>
      <c r="H19" s="269" t="s">
        <v>137</v>
      </c>
      <c r="I19" s="269"/>
      <c r="J19" s="269"/>
      <c r="K19" s="269"/>
      <c r="L19" s="78"/>
      <c r="M19" s="78"/>
      <c r="N19" s="44"/>
    </row>
    <row r="20" spans="2:14" ht="12.75">
      <c r="B20" s="152" t="s">
        <v>42</v>
      </c>
      <c r="C20" s="152"/>
      <c r="D20" s="152"/>
      <c r="E20" s="153">
        <f>G50</f>
        <v>14</v>
      </c>
      <c r="F20" s="146" t="s">
        <v>34</v>
      </c>
      <c r="G20" s="44"/>
      <c r="H20" s="72"/>
      <c r="I20" s="72"/>
      <c r="J20" s="72"/>
      <c r="K20" s="125"/>
      <c r="L20" s="125"/>
      <c r="M20" s="125"/>
      <c r="N20" s="44"/>
    </row>
    <row r="21" spans="2:14" ht="12.75">
      <c r="B21" s="152"/>
      <c r="C21" s="152"/>
      <c r="D21" s="152"/>
      <c r="E21" s="153"/>
      <c r="F21" s="146"/>
      <c r="G21" s="44"/>
      <c r="H21" s="72"/>
      <c r="I21" s="72"/>
      <c r="J21" s="72"/>
      <c r="K21" s="125"/>
      <c r="L21" s="125"/>
      <c r="M21" s="125"/>
      <c r="N21" s="44"/>
    </row>
    <row r="22" spans="2:14" ht="12.75">
      <c r="B22" s="133" t="s">
        <v>43</v>
      </c>
      <c r="C22" s="133"/>
      <c r="D22" s="133"/>
      <c r="E22" s="153">
        <f>G51</f>
        <v>10</v>
      </c>
      <c r="F22" s="146" t="s">
        <v>34</v>
      </c>
      <c r="G22" s="44"/>
      <c r="H22" s="72"/>
      <c r="I22" s="72"/>
      <c r="J22" s="72"/>
      <c r="K22" s="125"/>
      <c r="L22" s="125"/>
      <c r="M22" s="125"/>
      <c r="N22" s="44"/>
    </row>
    <row r="23" spans="2:14" ht="12.75">
      <c r="B23" s="133"/>
      <c r="C23" s="133"/>
      <c r="D23" s="133"/>
      <c r="E23" s="153"/>
      <c r="F23" s="146"/>
      <c r="G23" s="44"/>
      <c r="H23" s="72"/>
      <c r="I23" s="72"/>
      <c r="J23" s="72"/>
      <c r="K23" s="125"/>
      <c r="L23" s="125"/>
      <c r="M23" s="125"/>
      <c r="N23" s="44"/>
    </row>
    <row r="24" spans="7:14" ht="12.75">
      <c r="G24" s="44"/>
      <c r="H24" s="151"/>
      <c r="I24" s="151"/>
      <c r="J24" s="151"/>
      <c r="K24" s="147"/>
      <c r="L24" s="124"/>
      <c r="M24" s="124"/>
      <c r="N24" s="44"/>
    </row>
    <row r="25" spans="1:14" ht="15.75">
      <c r="A25" s="255" t="s">
        <v>44</v>
      </c>
      <c r="G25" s="44"/>
      <c r="H25" s="151"/>
      <c r="I25" s="151"/>
      <c r="J25" s="151"/>
      <c r="K25" s="124"/>
      <c r="L25" s="124"/>
      <c r="M25" s="124"/>
      <c r="N25" s="44"/>
    </row>
    <row r="26" spans="2:14" ht="12.75">
      <c r="B26" s="145" t="s">
        <v>162</v>
      </c>
      <c r="C26" s="145"/>
      <c r="D26" s="145"/>
      <c r="E26" s="41">
        <f>G54</f>
        <v>1024</v>
      </c>
      <c r="G26" s="44"/>
      <c r="H26" s="44"/>
      <c r="I26" s="44"/>
      <c r="J26" s="44"/>
      <c r="K26" s="44"/>
      <c r="L26" s="44"/>
      <c r="M26" s="44"/>
      <c r="N26" s="44"/>
    </row>
    <row r="28" spans="1:4" ht="15.75">
      <c r="A28" s="255" t="s">
        <v>124</v>
      </c>
      <c r="B28" s="12"/>
      <c r="C28" s="12"/>
      <c r="D28" s="12"/>
    </row>
    <row r="29" spans="2:13" ht="12.75">
      <c r="B29" s="127" t="s">
        <v>58</v>
      </c>
      <c r="C29" s="127"/>
      <c r="D29" s="144" t="s">
        <v>59</v>
      </c>
      <c r="E29" s="144"/>
      <c r="F29" s="144"/>
      <c r="G29" s="144"/>
      <c r="H29" s="144"/>
      <c r="I29" s="144"/>
      <c r="J29" s="144"/>
      <c r="K29" s="144"/>
      <c r="L29" s="144"/>
      <c r="M29" s="144"/>
    </row>
    <row r="30" spans="2:13" ht="12.75">
      <c r="B30" s="127"/>
      <c r="C30" s="127"/>
      <c r="D30" s="144" t="s">
        <v>60</v>
      </c>
      <c r="E30" s="144"/>
      <c r="F30" s="144"/>
      <c r="G30" s="144"/>
      <c r="H30" s="144"/>
      <c r="I30" s="144"/>
      <c r="J30" s="144"/>
      <c r="K30" s="144"/>
      <c r="L30" s="144"/>
      <c r="M30" s="144"/>
    </row>
    <row r="31" spans="2:13" ht="12.75">
      <c r="B31" s="126" t="s">
        <v>61</v>
      </c>
      <c r="C31" s="126"/>
      <c r="D31" s="144" t="s">
        <v>62</v>
      </c>
      <c r="E31" s="144"/>
      <c r="F31" s="144"/>
      <c r="G31" s="144"/>
      <c r="H31" s="144"/>
      <c r="I31" s="144"/>
      <c r="J31" s="144"/>
      <c r="K31" s="144"/>
      <c r="L31" s="144"/>
      <c r="M31" s="144"/>
    </row>
    <row r="32" spans="2:13" ht="12.75">
      <c r="B32" s="126" t="s">
        <v>63</v>
      </c>
      <c r="C32" s="126"/>
      <c r="D32" s="144" t="s">
        <v>64</v>
      </c>
      <c r="E32" s="144"/>
      <c r="F32" s="144"/>
      <c r="G32" s="144"/>
      <c r="H32" s="144"/>
      <c r="I32" s="144"/>
      <c r="J32" s="144"/>
      <c r="K32" s="144"/>
      <c r="L32" s="144"/>
      <c r="M32" s="144"/>
    </row>
    <row r="33" spans="2:8" ht="13.5" customHeight="1">
      <c r="B33" s="33"/>
      <c r="C33" s="4"/>
      <c r="D33" s="32"/>
      <c r="E33" s="5"/>
      <c r="F33" s="5"/>
      <c r="G33" s="5"/>
      <c r="H33" s="31"/>
    </row>
    <row r="34" spans="1:8" ht="12.75">
      <c r="A34" s="264" t="s">
        <v>65</v>
      </c>
      <c r="B34" s="35"/>
      <c r="C34" s="35"/>
      <c r="D34" s="36"/>
      <c r="E34" s="5"/>
      <c r="F34" s="5"/>
      <c r="G34" s="5"/>
      <c r="H34" s="31"/>
    </row>
    <row r="35" spans="2:9" ht="14.25" customHeight="1">
      <c r="B35" s="44"/>
      <c r="C35" s="44"/>
      <c r="E35" s="128" t="s">
        <v>114</v>
      </c>
      <c r="F35" s="123"/>
      <c r="G35" s="119"/>
      <c r="I35" s="15" t="s">
        <v>128</v>
      </c>
    </row>
    <row r="36" spans="2:9" ht="12.75">
      <c r="B36" s="72"/>
      <c r="C36" s="44"/>
      <c r="E36" s="120">
        <f>G52</f>
        <v>1024</v>
      </c>
      <c r="F36" s="121"/>
      <c r="G36" s="122"/>
      <c r="I36" s="75" t="s">
        <v>129</v>
      </c>
    </row>
    <row r="37" spans="2:9" ht="12.75">
      <c r="B37" s="72"/>
      <c r="C37" s="44"/>
      <c r="I37" s="76" t="s">
        <v>130</v>
      </c>
    </row>
    <row r="38" spans="2:9" ht="12.75">
      <c r="B38" s="72"/>
      <c r="C38" s="44"/>
      <c r="E38" s="128" t="s">
        <v>118</v>
      </c>
      <c r="F38" s="123"/>
      <c r="G38" s="119"/>
      <c r="I38" s="76" t="s">
        <v>131</v>
      </c>
    </row>
    <row r="39" spans="5:9" ht="12.75">
      <c r="E39" s="141">
        <f>G53</f>
        <v>512</v>
      </c>
      <c r="F39" s="142"/>
      <c r="G39" s="143"/>
      <c r="I39" s="77" t="s">
        <v>132</v>
      </c>
    </row>
    <row r="43" ht="12.75" hidden="1">
      <c r="B43" t="s">
        <v>138</v>
      </c>
    </row>
    <row r="44" ht="12.75" hidden="1">
      <c r="C44" t="s">
        <v>139</v>
      </c>
    </row>
    <row r="45" spans="2:8" ht="12.75" hidden="1">
      <c r="B45" s="86"/>
      <c r="C45" s="85" t="s">
        <v>129</v>
      </c>
      <c r="D45" s="85" t="s">
        <v>130</v>
      </c>
      <c r="E45" s="85" t="s">
        <v>131</v>
      </c>
      <c r="F45" s="87" t="s">
        <v>132</v>
      </c>
      <c r="G45" s="85" t="s">
        <v>140</v>
      </c>
      <c r="H45" s="84"/>
    </row>
    <row r="46" spans="2:7" ht="12.75" hidden="1">
      <c r="B46" s="3" t="s">
        <v>141</v>
      </c>
      <c r="C46">
        <f>WN_P_Max_nb_of_BusObj_per_processor</f>
        <v>15</v>
      </c>
      <c r="D46">
        <f>SN_P_Max_nb_of_BusObj_per_processor</f>
        <v>25</v>
      </c>
      <c r="E46">
        <f>AX_P_Max_nb_of_BusObj_per_processor</f>
        <v>15</v>
      </c>
      <c r="F46" s="106">
        <f>HP_P_Max_nb_of_BusObj_per_processor</f>
        <v>20</v>
      </c>
      <c r="G46">
        <f>HLOOKUP(P_Target_OS,C45:F46,2,FALSE)</f>
        <v>25</v>
      </c>
    </row>
    <row r="47" spans="2:7" ht="12.75" hidden="1">
      <c r="B47" s="3" t="s">
        <v>142</v>
      </c>
      <c r="C47">
        <f>WN_P_Max_nb_of_WIQT_per_CPU</f>
        <v>15</v>
      </c>
      <c r="D47">
        <f>SN_P_Max_nb_of_WIQT_per_CPU</f>
        <v>30</v>
      </c>
      <c r="E47">
        <f>AX_P_Max_nb_of_WIQT_per_CPU</f>
        <v>40</v>
      </c>
      <c r="F47" s="3">
        <f>HP_P_Max_nb_of_WIQT_per_CPU</f>
        <v>30</v>
      </c>
      <c r="G47">
        <f>HLOOKUP(P_Target_OS,C45:F47,3,FALSE)</f>
        <v>30</v>
      </c>
    </row>
    <row r="48" spans="2:7" ht="12.75" hidden="1">
      <c r="B48" s="3" t="s">
        <v>143</v>
      </c>
      <c r="C48">
        <f>WN_P_RAM_overhead_OS_WebI_core</f>
        <v>128</v>
      </c>
      <c r="D48">
        <f>SN_P_RAM_overhead_OS_WebI_core</f>
        <v>164</v>
      </c>
      <c r="E48">
        <f>AX_P_RAM_overhead_OS_WebI_core</f>
        <v>256</v>
      </c>
      <c r="F48" s="3">
        <f>HP_P_RAM_overhead_OS_WebI_core</f>
        <v>256</v>
      </c>
      <c r="G48">
        <f>HLOOKUP(P_Target_OS,C45:F48,4,FALSE)</f>
        <v>164</v>
      </c>
    </row>
    <row r="49" spans="2:7" ht="12.75" hidden="1">
      <c r="B49" s="3" t="s">
        <v>144</v>
      </c>
      <c r="C49">
        <f>WN_P_RAM_needed_for_login</f>
        <v>10</v>
      </c>
      <c r="D49">
        <f>SN_P_RAM_needed_for_login</f>
        <v>10</v>
      </c>
      <c r="E49">
        <f>AX_P_RAM_needed_for_login</f>
        <v>9</v>
      </c>
      <c r="F49" s="3">
        <f>HP_P_RAM_needed_for_login</f>
        <v>10</v>
      </c>
      <c r="G49">
        <f>HLOOKUP(P_Target_OS,C45:F49,5,FALSE)</f>
        <v>10</v>
      </c>
    </row>
    <row r="50" spans="2:7" ht="12.75" hidden="1">
      <c r="B50" s="3" t="s">
        <v>145</v>
      </c>
      <c r="C50">
        <f>WN_P_RAM_needed_for_BusObj_BOL_refresh</f>
        <v>30</v>
      </c>
      <c r="D50">
        <f>SN_P_RAM_needed_for_BusObj_BOL_refresh</f>
        <v>14</v>
      </c>
      <c r="E50">
        <f>AX_P_RAM_needed_for_BusObj_BOL_refresh</f>
        <v>27</v>
      </c>
      <c r="F50" s="3">
        <f>HP_P_RAM_needed_for_BusObj_BOL_refresh</f>
        <v>30</v>
      </c>
      <c r="G50">
        <f>HLOOKUP(P_Target_OS,C45:F50,6,FALSE)</f>
        <v>14</v>
      </c>
    </row>
    <row r="51" spans="2:7" ht="12.75" hidden="1">
      <c r="B51" s="3" t="s">
        <v>146</v>
      </c>
      <c r="C51">
        <f>WN_P_RAM_needed_by_WIQT_for_login_refresh</f>
        <v>15</v>
      </c>
      <c r="D51">
        <f>SN_P_RAM_needed_by_WIQT_for_login_refresh</f>
        <v>10</v>
      </c>
      <c r="E51">
        <f>AX_P_RAM_needed_by_WIQT_for_login_refresh</f>
        <v>16</v>
      </c>
      <c r="F51" s="3">
        <f>HP_P_RAM_needed_by_WIQT_for_login_refresh</f>
        <v>20</v>
      </c>
      <c r="G51">
        <f>HLOOKUP(P_Target_OS,C45:F51,7,FALSE)</f>
        <v>10</v>
      </c>
    </row>
    <row r="52" spans="2:7" ht="12.75" hidden="1">
      <c r="B52" s="3" t="s">
        <v>147</v>
      </c>
      <c r="C52">
        <f>WN_P_Mem_Inc</f>
        <v>1024</v>
      </c>
      <c r="D52">
        <f>SN_P_Mem_Inc</f>
        <v>1024</v>
      </c>
      <c r="E52">
        <f>AX_P_Mem_Inc</f>
        <v>1024</v>
      </c>
      <c r="F52" s="3">
        <f>HP_P_Mem_Inc</f>
        <v>1024</v>
      </c>
      <c r="G52">
        <f>HLOOKUP(P_Target_OS,C45:F52,8,FALSE)</f>
        <v>1024</v>
      </c>
    </row>
    <row r="53" spans="2:7" ht="12.75" hidden="1">
      <c r="B53" s="3" t="s">
        <v>148</v>
      </c>
      <c r="C53">
        <f>WN_Node_HiWater</f>
        <v>512</v>
      </c>
      <c r="D53">
        <f>SN_P_Node_HiWater</f>
        <v>512</v>
      </c>
      <c r="E53">
        <f>AX_Node_HiWater</f>
        <v>512</v>
      </c>
      <c r="F53" s="3">
        <f>HP_P_Node_HiWater</f>
        <v>512</v>
      </c>
      <c r="G53">
        <f>HLOOKUP(P_Target_OS,C45:F53,9,FALSE)</f>
        <v>512</v>
      </c>
    </row>
    <row r="54" spans="2:7" ht="12" customHeight="1" hidden="1">
      <c r="B54" s="105" t="s">
        <v>167</v>
      </c>
      <c r="C54">
        <f>WN_P_Max_Num_Procs</f>
        <v>100</v>
      </c>
      <c r="D54">
        <f>SN_P_Max_Num_Procs</f>
        <v>1024</v>
      </c>
      <c r="E54">
        <f>AX_P_Max_Num_Procs</f>
        <v>1024</v>
      </c>
      <c r="F54" s="3">
        <f>HP_P_Max_Num_Procs</f>
        <v>1024</v>
      </c>
      <c r="G54">
        <f>HLOOKUP(P_Target_OS,C45:F54,10,FALSE)</f>
        <v>1024</v>
      </c>
    </row>
  </sheetData>
  <mergeCells count="38">
    <mergeCell ref="H24:J25"/>
    <mergeCell ref="B20:D21"/>
    <mergeCell ref="H19:K19"/>
    <mergeCell ref="B10:D10"/>
    <mergeCell ref="H16:K16"/>
    <mergeCell ref="B22:D23"/>
    <mergeCell ref="E20:E21"/>
    <mergeCell ref="E22:E23"/>
    <mergeCell ref="K22:M22"/>
    <mergeCell ref="K21:M21"/>
    <mergeCell ref="K20:M20"/>
    <mergeCell ref="D2:K2"/>
    <mergeCell ref="D3:K3"/>
    <mergeCell ref="B19:D19"/>
    <mergeCell ref="B18:D18"/>
    <mergeCell ref="B17:D17"/>
    <mergeCell ref="B16:D16"/>
    <mergeCell ref="B13:D13"/>
    <mergeCell ref="B6:D6"/>
    <mergeCell ref="H17:K17"/>
    <mergeCell ref="E36:G36"/>
    <mergeCell ref="E38:G38"/>
    <mergeCell ref="D31:M31"/>
    <mergeCell ref="D32:M32"/>
    <mergeCell ref="B32:C32"/>
    <mergeCell ref="B29:C30"/>
    <mergeCell ref="D29:M29"/>
    <mergeCell ref="E35:G35"/>
    <mergeCell ref="H18:K18"/>
    <mergeCell ref="B7:D7"/>
    <mergeCell ref="E39:G39"/>
    <mergeCell ref="D30:M30"/>
    <mergeCell ref="B26:D26"/>
    <mergeCell ref="F20:F21"/>
    <mergeCell ref="F22:F23"/>
    <mergeCell ref="K24:M25"/>
    <mergeCell ref="K23:M23"/>
    <mergeCell ref="B31:C31"/>
  </mergeCells>
  <dataValidations count="4">
    <dataValidation type="custom" showInputMessage="1" showErrorMessage="1" promptTitle="RAM per server" prompt="Enter a value that is a multiple of 1024" errorTitle="Invalid amount of RAM" error="Please enter a value that is a multiple of 1024 (i.e. 1024, 2048, 4096, etc)" sqref="E7">
      <formula1>IF(MOD(E7,P_Mem_Inc),0,1)</formula1>
    </dataValidation>
    <dataValidation type="whole" showInputMessage="1" showErrorMessage="1" promptTitle="# of CPUs per server" prompt="Please enter a number between 1 and 64 based on the target configuration" errorTitle="Invalid # of CPUs" error="Please enter a number between 1 and 64" sqref="E6">
      <formula1>1</formula1>
      <formula2>64</formula2>
    </dataValidation>
    <dataValidation type="list" showInputMessage="1" showErrorMessage="1" promptTitle="Do you want a control node?" prompt="Please select &quot;YES&quot; or &quot;NO&quot; from the pulldown" errorTitle="Control Node" error="Please select a value from the pulldown" sqref="E13">
      <formula1>"YES,NO"</formula1>
    </dataValidation>
    <dataValidation type="list" showInputMessage="1" showErrorMessage="1" promptTitle="Target O/S" prompt="Please select an O/S from the pulldown" errorTitle="Error" error="Please select an O/S from the pulldown" sqref="E10">
      <formula1>$I$36:$I$39</formula1>
    </dataValidation>
  </dataValidations>
  <hyperlinks>
    <hyperlink ref="H16:K16" location="'Sun Parms'!A1" tooltip="Click to view or edit Solaris specific assumptions" display="View/Edit Solaris Assumptions"/>
    <hyperlink ref="H17:K17" location="'W2K Parms'!A1" tooltip="Click here to change Windows specific assumptions" display="View/Edit W2K Assumptions"/>
    <hyperlink ref="H18:K18" location="'AIX Parms'!A1" tooltip="Click here to change AIX specific assumptions" display="View/Edit AIX Assumptions"/>
    <hyperlink ref="H19:K19" location="'HP Parms'!A1" tooltip="Click here to change HP/UX specific assumptions" display="View/Edit HP/UX Assumptions"/>
  </hyperlinks>
  <printOptions/>
  <pageMargins left="0.75" right="0.75" top="0.42" bottom="0.68" header="0.31" footer="0.42"/>
  <pageSetup horizontalDpi="600" verticalDpi="600" orientation="landscape" r:id="rId2"/>
  <headerFooter alignWithMargins="0">
    <oddFooter>&amp;L&amp;D&amp;C(c) 2003 Business Objects SA Confidential&amp;RPage &amp;P</oddFooter>
  </headerFooter>
  <drawing r:id="rId1"/>
</worksheet>
</file>

<file path=xl/worksheets/sheet3.xml><?xml version="1.0" encoding="utf-8"?>
<worksheet xmlns="http://schemas.openxmlformats.org/spreadsheetml/2006/main" xmlns:r="http://schemas.openxmlformats.org/officeDocument/2006/relationships">
  <sheetPr>
    <tabColor indexed="12"/>
  </sheetPr>
  <dimension ref="A1:K46"/>
  <sheetViews>
    <sheetView showGridLines="0" workbookViewId="0" topLeftCell="A1">
      <selection activeCell="O38" sqref="O38"/>
    </sheetView>
  </sheetViews>
  <sheetFormatPr defaultColWidth="9.140625" defaultRowHeight="12.75"/>
  <cols>
    <col min="11" max="11" width="10.140625" style="0" customWidth="1"/>
  </cols>
  <sheetData>
    <row r="1" ht="12.75">
      <c r="A1" s="37"/>
    </row>
    <row r="2" spans="6:9" ht="15">
      <c r="F2" s="2" t="s">
        <v>165</v>
      </c>
      <c r="G2" s="2"/>
      <c r="H2" s="2"/>
      <c r="I2" s="2"/>
    </row>
    <row r="3" spans="6:9" ht="15">
      <c r="F3" s="13" t="s">
        <v>199</v>
      </c>
      <c r="G3" s="2"/>
      <c r="H3" s="2"/>
      <c r="I3" s="2"/>
    </row>
    <row r="4" spans="6:9" ht="12.75">
      <c r="F4" s="1" t="s">
        <v>86</v>
      </c>
      <c r="G4" s="1"/>
      <c r="H4" s="1"/>
      <c r="I4" s="1"/>
    </row>
    <row r="6" ht="15.75">
      <c r="A6" s="255" t="s">
        <v>80</v>
      </c>
    </row>
    <row r="7" spans="2:8" ht="12.75">
      <c r="B7" s="144" t="s">
        <v>81</v>
      </c>
      <c r="C7" s="144"/>
      <c r="D7" s="144"/>
      <c r="E7" s="144"/>
      <c r="F7" s="144"/>
      <c r="G7" s="144"/>
      <c r="H7" s="247">
        <v>500</v>
      </c>
    </row>
    <row r="8" spans="2:8" ht="12.75">
      <c r="B8" s="145" t="s">
        <v>160</v>
      </c>
      <c r="C8" s="145"/>
      <c r="D8" s="145"/>
      <c r="E8" s="145"/>
      <c r="F8" s="145"/>
      <c r="G8" s="145"/>
      <c r="H8" s="248">
        <v>0.1</v>
      </c>
    </row>
    <row r="9" spans="2:8" ht="12.75">
      <c r="B9" s="145" t="s">
        <v>161</v>
      </c>
      <c r="C9" s="145"/>
      <c r="D9" s="145"/>
      <c r="E9" s="145"/>
      <c r="F9" s="145"/>
      <c r="G9" s="145"/>
      <c r="H9" s="248">
        <v>0.1</v>
      </c>
    </row>
    <row r="10" spans="2:8" ht="12.75">
      <c r="B10" s="138" t="s">
        <v>166</v>
      </c>
      <c r="C10" s="139"/>
      <c r="D10" s="139"/>
      <c r="E10" s="139"/>
      <c r="F10" s="139"/>
      <c r="G10" s="140"/>
      <c r="H10" s="248">
        <v>0</v>
      </c>
    </row>
    <row r="11" spans="2:8" ht="12.75" customHeight="1">
      <c r="B11" s="157" t="s">
        <v>83</v>
      </c>
      <c r="C11" s="158"/>
      <c r="D11" s="158"/>
      <c r="E11" s="158"/>
      <c r="F11" s="158"/>
      <c r="G11" s="159"/>
      <c r="H11" s="249">
        <v>1</v>
      </c>
    </row>
    <row r="12" spans="2:8" ht="12.75">
      <c r="B12" s="154" t="s">
        <v>85</v>
      </c>
      <c r="C12" s="155"/>
      <c r="D12" s="155"/>
      <c r="E12" s="155"/>
      <c r="F12" s="155"/>
      <c r="G12" s="156"/>
      <c r="H12" s="62"/>
    </row>
    <row r="14" ht="15.75" thickBot="1">
      <c r="A14" s="42" t="s">
        <v>84</v>
      </c>
    </row>
    <row r="15" spans="2:3" ht="18.75" thickBot="1">
      <c r="B15" s="46">
        <f>I_You_need_a_control_node+I_Number_of_BusObj_BOL_nodes+I_Number_of_WIQT_nodes</f>
        <v>1</v>
      </c>
      <c r="C15" s="47" t="str">
        <f>IF(I_Recommended_configuration=1,"server","servers")</f>
        <v>server</v>
      </c>
    </row>
    <row r="16" spans="2:6" ht="15.75" customHeight="1">
      <c r="B16" s="164">
        <f>IF((I_Recommended_configuration&gt;1),(IF(AND((I_Total_RAM_needed&lt;P_Amount_of_RAM_per_server),(I_Total_number_of_CPUs&lt;P_Nb_of_CPU_per_server)),"Note: You COULD use just one server","")),"")</f>
      </c>
      <c r="C16" s="164"/>
      <c r="D16" s="164"/>
      <c r="E16" s="164"/>
      <c r="F16" s="164"/>
    </row>
    <row r="17" ht="12.75">
      <c r="B17" s="54" t="s">
        <v>115</v>
      </c>
    </row>
    <row r="18" spans="2:6" ht="12.75">
      <c r="B18" s="165" t="str">
        <f>IF(I_Recommended_configuration=1,"You only need one server","")</f>
        <v>You only need one server</v>
      </c>
      <c r="C18" s="166"/>
      <c r="D18" s="166"/>
      <c r="E18" s="166"/>
      <c r="F18" s="167"/>
    </row>
    <row r="19" spans="2:6" ht="12.75">
      <c r="B19" s="160" t="str">
        <f>IF(B15=1,"RAM size on that server (MB)","")</f>
        <v>RAM size on that server (MB)</v>
      </c>
      <c r="C19" s="160"/>
      <c r="D19" s="160"/>
      <c r="E19" s="160"/>
      <c r="F19" s="64">
        <f>IF(I_Recommended_configuration&lt;&gt;1,"",IF(I_Total_RAM_needed&lt;256,256,IF(I_Total_RAM_needed&lt;512,512,IF(I_Total_RAM_needed&lt;P_Mem_Inc,P_Mem_Inc,P_Mem_Inc*ROUNDUP(I_RAM_needed_for_WIQTs/I_Number_of_WIQT_nodes/P_Mem_Inc,0)))))</f>
        <v>1024</v>
      </c>
    </row>
    <row r="20" spans="2:6" ht="13.5" thickBot="1">
      <c r="B20" s="168" t="str">
        <f>IF(I_Recommended_configuration=1,"Number of processors on that server","")</f>
        <v>Number of processors on that server</v>
      </c>
      <c r="C20" s="168"/>
      <c r="D20" s="168"/>
      <c r="E20" s="168"/>
      <c r="F20" s="65">
        <f>IF(I_Recommended_configuration=1,MAX(2,IF(I_Number_of_CPUs_needed_for_WIQT+H46=3,4,I_Number_of_CPUs_needed_for_WIQT+H46)),"")</f>
        <v>2</v>
      </c>
    </row>
    <row r="21" spans="2:6" ht="13.5" thickBot="1">
      <c r="B21" s="172">
        <f>IF(OR(I_Recommended_configuration&lt;3,P_Do_you_want_a_control_node="NO"),"","You need Web/App Server")</f>
      </c>
      <c r="C21" s="173"/>
      <c r="D21" s="173"/>
      <c r="E21" s="174"/>
      <c r="F21" s="68">
        <f>IF(P_Do_you_want_a_control_node="NO",0,IF(I_Number_of_BusObj_BOL_nodes+I_Number_of_WIQT_nodes&lt;3,0,1))</f>
        <v>0</v>
      </c>
    </row>
    <row r="22" spans="2:6" ht="12.75">
      <c r="B22" s="169" t="str">
        <f>IF(I_Recommended_configuration&lt;1,"n/a","Number of BusObj/BOL nodes")</f>
        <v>Number of BusObj/BOL nodes</v>
      </c>
      <c r="C22" s="170"/>
      <c r="D22" s="170"/>
      <c r="E22" s="171"/>
      <c r="F22" s="63">
        <f>MAX(ROUNDUP(I_Number_of_CPUs_needed_for_BusObj_BOL/P_Nb_of_CPU_per_server,0),ROUNDUP(I_RAM_needed_for_BusObj_BOL/P_Amount_of_RAM_per_server,0))</f>
        <v>0</v>
      </c>
    </row>
    <row r="23" spans="2:6" ht="12.75">
      <c r="B23" s="160">
        <f>IF(I_Number_of_BusObj_BOL_nodes=0,"","Minimum RAM needed per server BusObj/BOL")</f>
      </c>
      <c r="C23" s="160"/>
      <c r="D23" s="160"/>
      <c r="E23" s="160"/>
      <c r="F23" s="64">
        <f>IF(I_Number_of_BusObj_BOL_nodes=0,0,IF(I_RAM_needed_for_BusObj_BOL/I_Number_of_BusObj_BOL_nodes&lt;512,512,IF(I_RAM_needed_for_BusObj_BOL/I_Number_of_BusObj_BOL_nodes&lt;P_Mem_Inc,P_Mem_Inc,P_Mem_Inc*ROUNDUP(I_RAM_needed_for_WIQTs/I_Number_of_WIQT_nodes/P_Mem_Inc,0))))</f>
        <v>0</v>
      </c>
    </row>
    <row r="24" spans="2:6" ht="13.5" thickBot="1">
      <c r="B24" s="168">
        <f>IF(I_Number_of_BusObj_BOL_nodes=0,"","Number of CPUs per server BusObj")</f>
      </c>
      <c r="C24" s="168"/>
      <c r="D24" s="168"/>
      <c r="E24" s="168"/>
      <c r="F24" s="65">
        <f>IF(I_Minimum_RAM_needed_per_server_BusObj_BOL=0,0,IF(ROUNDUP(I_Number_of_CPUs_needed_for_BusObj_BOL/I_Number_of_BusObj_BOL_nodes,0)&lt;3,2,ROUNDUP((I_Number_of_CPUs_needed_for_BusObj_BOL)/I_Number_of_BusObj_BOL_nodes,0)))</f>
        <v>0</v>
      </c>
    </row>
    <row r="25" spans="2:6" ht="12.75">
      <c r="B25" s="169" t="str">
        <f>IF(I_Recommended_configuration&lt;1,"","Number of WIQT nodes")</f>
        <v>Number of WIQT nodes</v>
      </c>
      <c r="C25" s="170"/>
      <c r="D25" s="170"/>
      <c r="E25" s="171"/>
      <c r="F25" s="63">
        <f>MAX(ROUNDUP(I_Number_of_CPUs_needed_for_WIQT/P_Nb_of_CPU_per_server,0),ROUNDUP(I_RAM_needed_for_WIQTs/P_Amount_of_RAM_per_server,0))</f>
        <v>1</v>
      </c>
    </row>
    <row r="26" spans="2:6" ht="12.75">
      <c r="B26" s="160" t="str">
        <f>IF(I_Number_of_WIQT_nodes=0,"","Minimum RAM needed per server WIQT")</f>
        <v>Minimum RAM needed per server WIQT</v>
      </c>
      <c r="C26" s="160"/>
      <c r="D26" s="160"/>
      <c r="E26" s="160"/>
      <c r="F26" s="64">
        <f>IF(I_Number_of_WIQT_nodes=0,0,IF(I_RAM_needed_for_WIQTs/I_Number_of_WIQT_nodes&lt;512,512,IF(I_RAM_needed_for_WIQTs/I_Number_of_WIQT_nodes&lt;P_Mem_Inc,P_Mem_Inc,P_Mem_Inc*ROUNDUP(I_RAM_needed_for_WIQTs/I_Number_of_WIQT_nodes/P_Mem_Inc,0))))</f>
        <v>512</v>
      </c>
    </row>
    <row r="27" spans="2:6" ht="12.75">
      <c r="B27" s="160" t="str">
        <f>IF(I_Number_of_WIQT_nodes=0,"","Number of CPUs per server WIQT")</f>
        <v>Number of CPUs per server WIQT</v>
      </c>
      <c r="C27" s="160"/>
      <c r="D27" s="160"/>
      <c r="E27" s="160"/>
      <c r="F27" s="64">
        <f>IF(I_Minimum_RAM_needed_per_server_WIQT=0,0,IF(ROUNDUP((I_Number_of_CPUs_needed_for_WIQT)/I_Number_of_WIQT_nodes,0)&lt;3,2,ROUNDUP((I_Number_of_CPUs_needed_for_WIQT)/I_Number_of_WIQT_nodes,0)))</f>
        <v>2</v>
      </c>
    </row>
    <row r="29" ht="15.75">
      <c r="A29" s="255" t="s">
        <v>100</v>
      </c>
    </row>
    <row r="30" spans="2:6" ht="12.75">
      <c r="B30" s="49" t="s">
        <v>95</v>
      </c>
      <c r="C30" s="49"/>
      <c r="D30" s="49"/>
      <c r="E30" s="49"/>
      <c r="F30" s="49"/>
    </row>
    <row r="31" spans="2:6" ht="12.75">
      <c r="B31" s="49" t="s">
        <v>96</v>
      </c>
      <c r="C31" s="49"/>
      <c r="D31" s="49"/>
      <c r="E31" s="49"/>
      <c r="F31" s="49"/>
    </row>
    <row r="32" spans="2:6" ht="12.75">
      <c r="B32" s="49"/>
      <c r="C32" s="49"/>
      <c r="D32" s="49"/>
      <c r="E32" s="49"/>
      <c r="F32" s="49"/>
    </row>
    <row r="33" spans="2:6" ht="12.75">
      <c r="B33" s="182" t="s">
        <v>97</v>
      </c>
      <c r="C33" s="182"/>
      <c r="D33" s="182"/>
      <c r="E33" s="182"/>
      <c r="F33" s="50">
        <f>MAX(INT(I_Total_user_population*I_Peak_percentage_of_active_users),1)</f>
        <v>50</v>
      </c>
    </row>
    <row r="34" spans="2:6" ht="12.75">
      <c r="B34" s="182" t="s">
        <v>98</v>
      </c>
      <c r="C34" s="182"/>
      <c r="D34" s="182"/>
      <c r="E34" s="182"/>
      <c r="F34" s="50">
        <f>MAX(INT(I_Peak_number_of_active_users*I_Peak_percentage_of_concurrent_users),1)</f>
        <v>5</v>
      </c>
    </row>
    <row r="35" spans="2:6" ht="12.75">
      <c r="B35" s="45"/>
      <c r="C35" s="45"/>
      <c r="D35" s="45"/>
      <c r="E35" s="45"/>
      <c r="F35" s="48"/>
    </row>
    <row r="36" spans="1:11" ht="15.75">
      <c r="A36" s="255" t="s">
        <v>44</v>
      </c>
      <c r="H36" s="48"/>
      <c r="I36" s="48"/>
      <c r="J36" s="48"/>
      <c r="K36" s="48"/>
    </row>
    <row r="37" spans="2:11" ht="27.75" customHeight="1">
      <c r="B37" s="183" t="s">
        <v>99</v>
      </c>
      <c r="C37" s="183"/>
      <c r="D37" s="183"/>
      <c r="E37" s="183"/>
      <c r="F37" s="183"/>
      <c r="G37" s="183"/>
      <c r="H37" s="183"/>
      <c r="I37" s="5"/>
      <c r="J37" s="5"/>
      <c r="K37" s="5"/>
    </row>
    <row r="38" spans="2:8" ht="12.75">
      <c r="B38" s="182" t="s">
        <v>87</v>
      </c>
      <c r="C38" s="182"/>
      <c r="D38" s="182"/>
      <c r="E38" s="182"/>
      <c r="F38" s="182"/>
      <c r="G38" s="182"/>
      <c r="H38" s="50">
        <f>ROUNDUP(P_RAM_needed_for_BusObj_BOL_refresh*I_Peak_number_of_concurrent_users*I_Ratio_of_BusObj_reports_0_to_100*I_Percentage_of_users_with_just_InfoView,0)</f>
        <v>0</v>
      </c>
    </row>
    <row r="39" spans="2:8" ht="12.75" customHeight="1">
      <c r="B39" s="181" t="s">
        <v>88</v>
      </c>
      <c r="C39" s="181"/>
      <c r="D39" s="181"/>
      <c r="E39" s="181"/>
      <c r="F39" s="181"/>
      <c r="G39" s="181"/>
      <c r="H39" s="59">
        <f>INT(I_Peak_number_of_concurrent_users*I_Ratio_of_BusObj_reports_0_to_100*I_Percentage_of_users_with_just_InfoView)</f>
        <v>0</v>
      </c>
    </row>
    <row r="40" spans="2:8" ht="12.75">
      <c r="B40" s="181" t="s">
        <v>89</v>
      </c>
      <c r="C40" s="181"/>
      <c r="D40" s="181"/>
      <c r="E40" s="181"/>
      <c r="F40" s="181"/>
      <c r="G40" s="181"/>
      <c r="H40" s="59">
        <f>ROUNDUP((I_Peak_number_of_BusObj_BOL_processes)/P_Max_nb_of_BusObj_per_processor,0)</f>
        <v>0</v>
      </c>
    </row>
    <row r="41" spans="2:8" ht="12.75" customHeight="1">
      <c r="B41" s="161" t="s">
        <v>90</v>
      </c>
      <c r="C41" s="162"/>
      <c r="D41" s="162"/>
      <c r="E41" s="162"/>
      <c r="F41" s="162"/>
      <c r="G41" s="163"/>
      <c r="H41" s="50">
        <f>INT((P_RAM_needed_for_login*(I_Peak_number_of_active_users-(1-I_Ratio_of_BusObj_reports_0_to_100)*I_Peak_number_of_concurrent_users)+P_RAM_needed_by_WIQT_for_login_refresh*(1-I_Ratio_of_BusObj_reports_0_to_100)*I_Peak_number_of_concurrent_users))</f>
        <v>500</v>
      </c>
    </row>
    <row r="42" spans="2:8" ht="12.75">
      <c r="B42" s="161" t="s">
        <v>91</v>
      </c>
      <c r="C42" s="162"/>
      <c r="D42" s="162"/>
      <c r="E42" s="162"/>
      <c r="F42" s="162"/>
      <c r="G42" s="163"/>
      <c r="H42" s="51">
        <f>INT(I_Peak_number_of_concurrent_users)+(I_Peak_number_of_concurrent_users*(I_Ratio_of_BusObj_reports_0_to_100*I_Percentage_of_users_with_just_InfoView))</f>
        <v>5</v>
      </c>
    </row>
    <row r="43" spans="2:8" ht="12.75">
      <c r="B43" s="181" t="s">
        <v>92</v>
      </c>
      <c r="C43" s="181"/>
      <c r="D43" s="181"/>
      <c r="E43" s="181"/>
      <c r="F43" s="181"/>
      <c r="G43" s="181"/>
      <c r="H43" s="55">
        <f>ROUNDUP(I_Peak_number_of_busy_WIQTs/P_Max_nb_of_WIQT_per_CPU,0)</f>
        <v>1</v>
      </c>
    </row>
    <row r="44" spans="2:8" ht="12.75">
      <c r="B44" s="161" t="s">
        <v>93</v>
      </c>
      <c r="C44" s="162"/>
      <c r="D44" s="162"/>
      <c r="E44" s="162"/>
      <c r="F44" s="162"/>
      <c r="G44" s="163"/>
      <c r="H44" s="50">
        <f>I_RAM_needed_for_BusObj_BOL+I_RAM_needed_for_WIQTs+P_RAM_overhead_OS_WebI_core</f>
        <v>664</v>
      </c>
    </row>
    <row r="45" spans="2:8" ht="12.75" customHeight="1">
      <c r="B45" s="175" t="s">
        <v>94</v>
      </c>
      <c r="C45" s="176"/>
      <c r="D45" s="176"/>
      <c r="E45" s="176"/>
      <c r="F45" s="176"/>
      <c r="G45" s="177"/>
      <c r="H45" s="66">
        <f>I_Number_of_CPUs_needed_for_BusObj_BOL+I_Number_of_CPUs_needed_for_WIQT</f>
        <v>1</v>
      </c>
    </row>
    <row r="46" spans="2:8" ht="12.75">
      <c r="B46" s="178"/>
      <c r="C46" s="179"/>
      <c r="D46" s="179"/>
      <c r="E46" s="179"/>
      <c r="F46" s="179"/>
      <c r="G46" s="180"/>
      <c r="H46" s="67"/>
    </row>
  </sheetData>
  <sheetProtection/>
  <mergeCells count="28">
    <mergeCell ref="B20:E20"/>
    <mergeCell ref="B43:G43"/>
    <mergeCell ref="B44:G44"/>
    <mergeCell ref="B40:G40"/>
    <mergeCell ref="B39:G39"/>
    <mergeCell ref="B33:E33"/>
    <mergeCell ref="B34:E34"/>
    <mergeCell ref="B37:H37"/>
    <mergeCell ref="B38:G38"/>
    <mergeCell ref="B42:G42"/>
    <mergeCell ref="B45:G46"/>
    <mergeCell ref="B25:E25"/>
    <mergeCell ref="B26:E26"/>
    <mergeCell ref="B27:E27"/>
    <mergeCell ref="B12:G12"/>
    <mergeCell ref="B11:G11"/>
    <mergeCell ref="B19:E19"/>
    <mergeCell ref="B41:G41"/>
    <mergeCell ref="B16:F16"/>
    <mergeCell ref="B18:F18"/>
    <mergeCell ref="B24:E24"/>
    <mergeCell ref="B23:E23"/>
    <mergeCell ref="B22:E22"/>
    <mergeCell ref="B21:E21"/>
    <mergeCell ref="B7:G7"/>
    <mergeCell ref="B8:G8"/>
    <mergeCell ref="B9:G9"/>
    <mergeCell ref="B10:G10"/>
  </mergeCells>
  <printOptions/>
  <pageMargins left="0.75" right="0.75" top="1" bottom="1" header="0.5" footer="0.5"/>
  <pageSetup horizontalDpi="600" verticalDpi="600" orientation="portrait" r:id="rId4"/>
  <headerFooter alignWithMargins="0">
    <oddFooter>&amp;L&amp;D&amp;C(c) 2003 Business Objects SA Confidential&amp;RPage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0"/>
  </sheetPr>
  <dimension ref="A1:L50"/>
  <sheetViews>
    <sheetView showGridLines="0" workbookViewId="0" topLeftCell="A1">
      <selection activeCell="J44" sqref="J44"/>
    </sheetView>
  </sheetViews>
  <sheetFormatPr defaultColWidth="9.140625" defaultRowHeight="12.75"/>
  <cols>
    <col min="2" max="2" width="10.57421875" style="0" bestFit="1" customWidth="1"/>
    <col min="3" max="3" width="11.7109375" style="0" customWidth="1"/>
    <col min="6" max="6" width="10.421875" style="0" bestFit="1" customWidth="1"/>
    <col min="10" max="10" width="59.28125" style="0" bestFit="1" customWidth="1"/>
  </cols>
  <sheetData>
    <row r="1" ht="12.75">
      <c r="A1" s="37"/>
    </row>
    <row r="2" ht="15">
      <c r="F2" s="2" t="s">
        <v>79</v>
      </c>
    </row>
    <row r="3" spans="3:9" ht="14.25">
      <c r="C3" s="13"/>
      <c r="D3" s="13"/>
      <c r="E3" s="13"/>
      <c r="F3" s="13" t="s">
        <v>200</v>
      </c>
      <c r="G3" s="13"/>
      <c r="H3" s="13"/>
      <c r="I3" s="13"/>
    </row>
    <row r="4" spans="1:3" ht="12.75">
      <c r="A4" s="5"/>
      <c r="B4" s="5"/>
      <c r="C4" s="5"/>
    </row>
    <row r="5" spans="1:12" ht="15.75">
      <c r="A5" s="255" t="s">
        <v>80</v>
      </c>
      <c r="C5" s="3"/>
      <c r="I5" s="44"/>
      <c r="J5" s="44"/>
      <c r="K5" s="44"/>
      <c r="L5" s="44"/>
    </row>
    <row r="6" spans="1:12" ht="12.75">
      <c r="A6" s="34"/>
      <c r="B6" s="145" t="s">
        <v>81</v>
      </c>
      <c r="C6" s="145"/>
      <c r="D6" s="145"/>
      <c r="E6" s="145"/>
      <c r="F6" s="145"/>
      <c r="G6" s="145"/>
      <c r="H6" s="250">
        <v>500</v>
      </c>
      <c r="I6" s="44"/>
      <c r="K6" s="44"/>
      <c r="L6" s="44"/>
    </row>
    <row r="7" spans="1:12" ht="12.75">
      <c r="A7" s="61"/>
      <c r="B7" s="145" t="s">
        <v>160</v>
      </c>
      <c r="C7" s="145"/>
      <c r="D7" s="145"/>
      <c r="E7" s="145"/>
      <c r="F7" s="145"/>
      <c r="G7" s="145"/>
      <c r="H7" s="251">
        <v>0.1</v>
      </c>
      <c r="I7" s="44"/>
      <c r="K7" s="44"/>
      <c r="L7" s="44"/>
    </row>
    <row r="8" spans="2:12" ht="12.75">
      <c r="B8" s="145" t="s">
        <v>161</v>
      </c>
      <c r="C8" s="145"/>
      <c r="D8" s="145"/>
      <c r="E8" s="145"/>
      <c r="F8" s="145"/>
      <c r="G8" s="145"/>
      <c r="H8" s="251">
        <v>1</v>
      </c>
      <c r="I8" s="44"/>
      <c r="K8" s="44"/>
      <c r="L8" s="44"/>
    </row>
    <row r="9" spans="2:12" ht="12.75">
      <c r="B9" s="145" t="s">
        <v>82</v>
      </c>
      <c r="C9" s="145"/>
      <c r="D9" s="145"/>
      <c r="E9" s="145"/>
      <c r="F9" s="145"/>
      <c r="G9" s="145"/>
      <c r="H9" s="251">
        <v>0.8</v>
      </c>
      <c r="I9" s="44"/>
      <c r="L9" s="44"/>
    </row>
    <row r="10" spans="2:12" ht="12.75">
      <c r="B10" s="157" t="s">
        <v>83</v>
      </c>
      <c r="C10" s="158"/>
      <c r="D10" s="158"/>
      <c r="E10" s="158"/>
      <c r="F10" s="158"/>
      <c r="G10" s="159"/>
      <c r="H10" s="252">
        <v>0.95</v>
      </c>
      <c r="I10" s="44"/>
      <c r="L10" s="44"/>
    </row>
    <row r="11" spans="2:12" ht="12.75">
      <c r="B11" s="191" t="s">
        <v>116</v>
      </c>
      <c r="C11" s="192"/>
      <c r="D11" s="192"/>
      <c r="E11" s="192"/>
      <c r="F11" s="192"/>
      <c r="G11" s="193"/>
      <c r="H11" s="252"/>
      <c r="I11" s="44"/>
      <c r="L11" s="44"/>
    </row>
    <row r="12" spans="9:12" ht="12.75">
      <c r="I12" s="44"/>
      <c r="L12" s="44"/>
    </row>
    <row r="13" spans="1:12" ht="15.75" thickBot="1">
      <c r="A13" s="42" t="s">
        <v>84</v>
      </c>
      <c r="B13" s="43"/>
      <c r="C13" s="43"/>
      <c r="I13" s="44"/>
      <c r="J13" s="44"/>
      <c r="K13" s="44"/>
      <c r="L13" s="44"/>
    </row>
    <row r="14" spans="2:11" ht="18.75" thickBot="1">
      <c r="B14" s="46">
        <f>MAX((B_You_need_a_control_node+B_Number_of_WIQT_nodes+B_Number_of_BusObj_BOL_nodes),ROUNDUP(B_Peak_number_of_concurrent_users/P_Max_Num_Proc,0))</f>
        <v>2</v>
      </c>
      <c r="C14" s="53" t="str">
        <f>IF(B_Recommended_configuration=1,"server","servers")</f>
        <v>servers</v>
      </c>
      <c r="D14" s="43"/>
      <c r="E14" s="43"/>
      <c r="F14" s="43"/>
      <c r="G14" s="52"/>
      <c r="K14" s="14"/>
    </row>
    <row r="15" spans="2:6" ht="14.25">
      <c r="B15" s="186">
        <f>IF((B_Recommended_configuration&gt;1),(IF(AND((B_Total_RAM_needed&lt;P_Amount_of_RAM_per_server),(B_Total_number_of_CPUs&lt;P_Nb_of_CPU_per_server)),"You COULD use just one server","")),"")</f>
      </c>
      <c r="C15" s="186"/>
      <c r="D15" s="186"/>
      <c r="E15" s="186"/>
      <c r="F15" s="186"/>
    </row>
    <row r="16" spans="2:6" ht="12.75">
      <c r="B16" s="187" t="s">
        <v>115</v>
      </c>
      <c r="C16" s="187"/>
      <c r="D16" s="187"/>
      <c r="E16" s="187"/>
      <c r="F16" s="187"/>
    </row>
    <row r="17" spans="2:6" ht="12.75">
      <c r="B17" s="126">
        <f>IF(B_Recommended_configuration=1,"You only need one server","")</f>
      </c>
      <c r="C17" s="126"/>
      <c r="D17" s="126"/>
      <c r="E17" s="126"/>
      <c r="F17" s="126"/>
    </row>
    <row r="18" spans="2:9" ht="12.75">
      <c r="B18" s="185">
        <f>IF(B_Recommended_configuration=1,"RAM size on that server (MB)","")</f>
      </c>
      <c r="C18" s="185"/>
      <c r="D18" s="185"/>
      <c r="E18" s="185"/>
      <c r="F18" s="69">
        <f>IF(B_Recommended_configuration&lt;&gt;1,"",IF(B_Total_RAM_needed&lt;P_Mem_Inc,256,IF(B_Total_RAM_needed&lt;512,512,IF(B_Total_RAM_needed&lt;P_Mem_Inc,P_Mem_Inc,P_Mem_Inc*ROUNDUP(B_RAM_needed_for_WIQTs/B_Number_of_WIQT_nodes/P_Mem_Inc,0)))))</f>
      </c>
      <c r="I18" s="48"/>
    </row>
    <row r="19" spans="2:9" ht="13.5" thickBot="1">
      <c r="B19" s="184">
        <f>IF(B_Recommended_configuration=1,"Number of processors on that server","")</f>
      </c>
      <c r="C19" s="184"/>
      <c r="D19" s="184"/>
      <c r="E19" s="184"/>
      <c r="F19" s="70">
        <f>IF(B_Recommended_configuration=1,MAX(2,IF(B_Number_of_CPUs_needed_for_WIQT+H46=3,4,B_Number_of_CPUs_needed_for_WIQT+H46)),"")</f>
      </c>
      <c r="I19" s="48"/>
    </row>
    <row r="20" spans="2:9" ht="13.5" thickBot="1">
      <c r="B20" s="172">
        <f>IF(OR(B14&lt;3,P_Do_you_want_a_control_node="NO"),"","You need an Web/App Server")</f>
      </c>
      <c r="C20" s="173"/>
      <c r="D20" s="173"/>
      <c r="E20" s="174"/>
      <c r="F20" s="68">
        <f>IF(P_Do_you_want_a_control_node="NO",0,IF(B_Number_of_BusObj_BOL_nodes+B_Number_of_WIQT_nodes&lt;3,0,1))</f>
        <v>0</v>
      </c>
      <c r="I20" s="48"/>
    </row>
    <row r="21" spans="2:9" ht="12.75">
      <c r="B21" s="169" t="str">
        <f>IF(B_Recommended_configuration=1,"","Number of BusObj/BOL nodes")</f>
        <v>Number of BusObj/BOL nodes</v>
      </c>
      <c r="C21" s="170"/>
      <c r="D21" s="170"/>
      <c r="E21" s="171"/>
      <c r="F21" s="63">
        <f>MAX(ROUNDUP(B_Number_of_CPUs_needed_for_BusObj_BOL/P_Nb_of_CPU_per_server,0),ROUNDUP(B_RAM_needed_for_BusObj_BOL/P_Amount_of_RAM_per_server,0))</f>
        <v>1</v>
      </c>
      <c r="I21" s="48"/>
    </row>
    <row r="22" spans="2:12" ht="12.75">
      <c r="B22" s="253" t="str">
        <f>IF(B_Number_of_BusObj_BOL_nodes=0,"","Minimum RAM needed per server BusObj/BOL")</f>
        <v>Minimum RAM needed per server BusObj/BOL</v>
      </c>
      <c r="C22" s="253"/>
      <c r="D22" s="253"/>
      <c r="E22" s="253"/>
      <c r="F22" s="64">
        <f>IF(B_Number_of_BusObj_BOL_nodes=0,0,IF(B_RAM_needed_for_BusObj_BOL/B_Number_of_BusObj_BOL_nodes&lt;P_Node_HiWater,P_Node_HiWater,IF(B_RAM_needed_for_BusObj_BOL/B_Number_of_BusObj_BOL_nodes&lt;P_Mem_Inc,P_Mem_Inc,P_Mem_Inc*ROUNDUP(B_RAM_needed_for_WIQTs/B_Number_of_WIQT_nodes/P_Mem_Inc,0))))</f>
        <v>1024</v>
      </c>
      <c r="I22" s="48"/>
      <c r="L22" s="48"/>
    </row>
    <row r="23" spans="2:12" ht="13.5" thickBot="1">
      <c r="B23" s="254" t="str">
        <f>IF(B_Number_of_BusObj_BOL_nodes=0,"","Number of CPUs per server BusObj")</f>
        <v>Number of CPUs per server BusObj</v>
      </c>
      <c r="C23" s="254"/>
      <c r="D23" s="254"/>
      <c r="E23" s="254"/>
      <c r="F23" s="65">
        <f>IF(B_Minimum_RAM_needed_per_server_BusObj_BOL=0,0,IF(ROUNDUP(B_Number_of_CPUs_needed_for_BusObj_BOL/B_Number_of_BusObj_BOL_nodes,0)&lt;3,2,ROUNDUP((B_Number_of_CPUs_needed_for_BusObj_BOL)/B_Number_of_BusObj_BOL_nodes,0)))</f>
        <v>2</v>
      </c>
      <c r="I23" s="48"/>
      <c r="L23" s="48"/>
    </row>
    <row r="24" spans="2:12" ht="12.75">
      <c r="B24" s="169" t="str">
        <f>IF(B_Number_of_WIQT_nodes=0,"","Number of WIQT nodes")</f>
        <v>Number of WIQT nodes</v>
      </c>
      <c r="C24" s="170"/>
      <c r="D24" s="170"/>
      <c r="E24" s="171"/>
      <c r="F24" s="63">
        <f>MAX(ROUNDUP(B_Number_of_CPUs_needed_for_WIQT/P_Nb_of_CPU_per_server,0),ROUNDUP(B_RAM_needed_for_WIQTs/P_Amount_of_RAM_per_server,0))</f>
        <v>1</v>
      </c>
      <c r="I24" s="48"/>
      <c r="L24" s="48"/>
    </row>
    <row r="25" spans="2:12" ht="12.75">
      <c r="B25" s="160" t="str">
        <f>IF(B_Number_of_WIQT_nodes=0,"","Minimum RAM needed per server WIQT")</f>
        <v>Minimum RAM needed per server WIQT</v>
      </c>
      <c r="C25" s="160"/>
      <c r="D25" s="160"/>
      <c r="E25" s="160"/>
      <c r="F25" s="64">
        <f>IF(B_Number_of_WIQT_nodes=0,0,IF(B_RAM_needed_for_WIQTs/B_Number_of_WIQT_nodes&lt;P_Node_HiWater,P_Node_HiWater,IF(B_RAM_needed_for_WIQTs/B_Number_of_WIQT_nodes&lt;P_Mem_Inc,P_Mem_Inc,P_Mem_Inc*ROUNDUP(B_RAM_needed_for_WIQTs/B_Number_of_WIQT_nodes/P_Mem_Inc,0))))</f>
        <v>1024</v>
      </c>
      <c r="I25" s="48"/>
      <c r="L25" s="48"/>
    </row>
    <row r="26" spans="2:12" ht="12.75">
      <c r="B26" s="160" t="str">
        <f>IF(B_Number_of_WIQT_nodes=0,"","Number of CPUs per server WIQT")</f>
        <v>Number of CPUs per server WIQT</v>
      </c>
      <c r="C26" s="160"/>
      <c r="D26" s="160"/>
      <c r="E26" s="160"/>
      <c r="F26" s="64">
        <f>IF(B_Minimum_RAM_needed_per_server_WIQT=0,0,IF(ROUNDUP((B_Number_of_CPUs_needed_for_WIQT)/B_Number_of_WIQT_nodes,0)&lt;3,2,ROUNDUP((B_Number_of_CPUs_needed_for_WIQT)/B_Number_of_WIQT_nodes,0)))</f>
        <v>2</v>
      </c>
      <c r="I26" s="48"/>
      <c r="L26" s="48"/>
    </row>
    <row r="27" spans="9:12" ht="12.75">
      <c r="I27" s="48"/>
      <c r="L27" s="48"/>
    </row>
    <row r="28" spans="1:12" ht="15.75">
      <c r="A28" s="255" t="s">
        <v>100</v>
      </c>
      <c r="I28" s="48"/>
      <c r="L28" s="48"/>
    </row>
    <row r="29" spans="2:12" ht="12.75">
      <c r="B29" s="44" t="s">
        <v>109</v>
      </c>
      <c r="C29" s="44"/>
      <c r="I29" s="48"/>
      <c r="L29" s="48"/>
    </row>
    <row r="30" spans="2:12" ht="12.75">
      <c r="B30" s="44" t="s">
        <v>96</v>
      </c>
      <c r="C30" s="44"/>
      <c r="I30" s="48"/>
      <c r="L30" s="48"/>
    </row>
    <row r="31" spans="2:12" ht="40.5" customHeight="1">
      <c r="B31" s="190" t="s">
        <v>125</v>
      </c>
      <c r="C31" s="190"/>
      <c r="D31" s="190"/>
      <c r="E31" s="190"/>
      <c r="F31" s="190"/>
      <c r="G31" s="190"/>
      <c r="I31" s="48"/>
      <c r="J31" s="48"/>
      <c r="K31" s="48"/>
      <c r="L31" s="48"/>
    </row>
    <row r="32" spans="2:12" ht="12.75">
      <c r="B32" s="30"/>
      <c r="C32" s="30"/>
      <c r="D32" s="30"/>
      <c r="E32" s="30"/>
      <c r="F32" s="30"/>
      <c r="G32" s="30"/>
      <c r="I32" s="48"/>
      <c r="J32" s="48"/>
      <c r="K32" s="48"/>
      <c r="L32" s="48"/>
    </row>
    <row r="33" spans="2:6" ht="12.75">
      <c r="B33" s="182" t="s">
        <v>97</v>
      </c>
      <c r="C33" s="182"/>
      <c r="D33" s="182"/>
      <c r="E33" s="182"/>
      <c r="F33" s="50">
        <f>MAX(INT(B_Total_user_population*B_Peak_percentage_of_active_users),1)</f>
        <v>50</v>
      </c>
    </row>
    <row r="34" spans="2:6" ht="12.75">
      <c r="B34" s="182" t="s">
        <v>98</v>
      </c>
      <c r="C34" s="182"/>
      <c r="D34" s="182"/>
      <c r="E34" s="182"/>
      <c r="F34" s="50">
        <f>MAX(INT(B_Peak_number_of_active_users*B_Peak_percentage_of_concurrent_users),1)</f>
        <v>50</v>
      </c>
    </row>
    <row r="36" ht="15.75">
      <c r="A36" s="255" t="s">
        <v>117</v>
      </c>
    </row>
    <row r="37" spans="2:8" ht="27.75" customHeight="1">
      <c r="B37" s="183" t="s">
        <v>99</v>
      </c>
      <c r="C37" s="183"/>
      <c r="D37" s="183"/>
      <c r="E37" s="183"/>
      <c r="F37" s="183"/>
      <c r="G37" s="183"/>
      <c r="H37" s="183"/>
    </row>
    <row r="38" spans="2:8" ht="12.75">
      <c r="B38" s="182" t="s">
        <v>87</v>
      </c>
      <c r="C38" s="182"/>
      <c r="D38" s="182"/>
      <c r="E38" s="182"/>
      <c r="F38" s="182"/>
      <c r="G38" s="182"/>
      <c r="H38" s="58">
        <f>ROUNDUP(P_RAM_needed_for_BusObj_BOL_refresh*B_Peak_number_of_concurrent_users*B_Ratio_of_BusObj_reports_0_to_100*B_Percentage_of_users_with_just_InfoView,0)</f>
        <v>532</v>
      </c>
    </row>
    <row r="39" spans="2:8" ht="12.75">
      <c r="B39" s="182" t="s">
        <v>88</v>
      </c>
      <c r="C39" s="182"/>
      <c r="D39" s="182"/>
      <c r="E39" s="182"/>
      <c r="F39" s="182"/>
      <c r="G39" s="182"/>
      <c r="H39" s="50">
        <f>INT(B_Peak_number_of_concurrent_users*B_Ratio_of_BusObj_reports_0_to_100*B_Percentage_of_users_with_just_InfoView)</f>
        <v>38</v>
      </c>
    </row>
    <row r="40" spans="2:8" ht="12.75">
      <c r="B40" s="182" t="s">
        <v>89</v>
      </c>
      <c r="C40" s="182"/>
      <c r="D40" s="182"/>
      <c r="E40" s="182"/>
      <c r="F40" s="182"/>
      <c r="G40" s="182"/>
      <c r="H40" s="50">
        <f>ROUNDUP((B_Peak_number_of_BusObj_BOL_processes)/P_Max_nb_of_BusObj_per_processor,0)</f>
        <v>2</v>
      </c>
    </row>
    <row r="41" spans="2:8" ht="12.75">
      <c r="B41" s="182" t="s">
        <v>90</v>
      </c>
      <c r="C41" s="182"/>
      <c r="D41" s="182"/>
      <c r="E41" s="182"/>
      <c r="F41" s="182"/>
      <c r="G41" s="182"/>
      <c r="H41" s="50">
        <f>(((B_Peak_number_of_active_users*P_RAM_needed_for_login)+((((B_Peak_number_of_concurrent_users*(1-B_Ratio_of_BusObj_reports_0_to_100))*(P_RAM_needed_by_WIQT_for_login_refresh-P_RAM_needed_for_login)))+(((((1-B_Percentage_of_users_with_just_InfoView)*(B_Ratio_of_BusObj_reports_0_to_100*B_Peak_number_of_concurrent_users))*P_RAM_needed_for_login))))))</f>
        <v>520</v>
      </c>
    </row>
    <row r="42" spans="2:8" ht="12.75">
      <c r="B42" s="182" t="s">
        <v>91</v>
      </c>
      <c r="C42" s="182"/>
      <c r="D42" s="182"/>
      <c r="E42" s="182"/>
      <c r="F42" s="182"/>
      <c r="G42" s="182"/>
      <c r="H42" s="51">
        <f>INT(B_Peak_number_of_concurrent_users)+(B_Peak_number_of_concurrent_users*(B_Ratio_of_BusObj_reports_0_to_100*(1-B_Percentage_of_users_with_just_InfoView)))</f>
        <v>52</v>
      </c>
    </row>
    <row r="43" spans="2:8" ht="12.75">
      <c r="B43" s="182" t="s">
        <v>92</v>
      </c>
      <c r="C43" s="182"/>
      <c r="D43" s="182"/>
      <c r="E43" s="182"/>
      <c r="F43" s="182"/>
      <c r="G43" s="182"/>
      <c r="H43" s="50">
        <f>ROUNDUP(B_Peak_number_of_busy_WIQTs/P_Max_nb_of_WIQT_per_CPU,0)</f>
        <v>2</v>
      </c>
    </row>
    <row r="44" spans="2:8" ht="12.75">
      <c r="B44" s="182" t="s">
        <v>93</v>
      </c>
      <c r="C44" s="182"/>
      <c r="D44" s="182"/>
      <c r="E44" s="182"/>
      <c r="F44" s="182"/>
      <c r="G44" s="182"/>
      <c r="H44" s="50">
        <f>B_RAM_needed_for_BusObj_BOL+B_RAM_needed_for_WIQTs+P_RAM_overhead_OS_WebI_core</f>
        <v>1216</v>
      </c>
    </row>
    <row r="45" spans="2:8" ht="12.75" customHeight="1">
      <c r="B45" s="181" t="s">
        <v>94</v>
      </c>
      <c r="C45" s="181"/>
      <c r="D45" s="181"/>
      <c r="E45" s="181"/>
      <c r="F45" s="181"/>
      <c r="G45" s="181"/>
      <c r="H45" s="50">
        <f>B_Number_of_CPUs_needed_for_BusObj_BOL+B_Number_of_CPUs_needed_for_WIQT</f>
        <v>4</v>
      </c>
    </row>
    <row r="46" spans="2:8" ht="12.75">
      <c r="B46" s="181"/>
      <c r="C46" s="181"/>
      <c r="D46" s="181"/>
      <c r="E46" s="181"/>
      <c r="F46" s="181"/>
      <c r="G46" s="181"/>
      <c r="H46" s="56"/>
    </row>
    <row r="47" spans="2:6" ht="12.75">
      <c r="B47" s="188" t="s">
        <v>110</v>
      </c>
      <c r="C47" s="188"/>
      <c r="D47" s="188"/>
      <c r="E47" s="188"/>
      <c r="F47" s="60">
        <f>(B_Peak_number_of_active_users*P_RAM_needed_for_login)</f>
        <v>500</v>
      </c>
    </row>
    <row r="48" spans="2:6" ht="12.75">
      <c r="B48" s="189" t="s">
        <v>111</v>
      </c>
      <c r="C48" s="189"/>
      <c r="D48" s="189"/>
      <c r="E48" s="189"/>
      <c r="F48" s="57">
        <f>((B_Peak_number_of_concurrent_users*(1-B_Ratio_of_BusObj_reports_0_to_100))*(P_RAM_needed_by_WIQT_for_login_refresh-P_RAM_needed_for_login))</f>
        <v>0</v>
      </c>
    </row>
    <row r="49" spans="2:6" ht="12.75">
      <c r="B49" s="189" t="s">
        <v>112</v>
      </c>
      <c r="C49" s="189"/>
      <c r="D49" s="189"/>
      <c r="E49" s="189"/>
      <c r="F49" s="57">
        <f>((1-B_Percentage_of_users_with_just_InfoView)*(B_Ratio_of_BusObj_reports_0_to_100*B_Peak_number_of_concurrent_users))*P_RAM_needed_for_login</f>
        <v>20.000000000000018</v>
      </c>
    </row>
    <row r="50" spans="2:6" ht="12.75">
      <c r="B50" s="189" t="s">
        <v>113</v>
      </c>
      <c r="C50" s="189"/>
      <c r="D50" s="189"/>
      <c r="E50" s="189"/>
      <c r="F50" s="57">
        <f>(B_Peak_number_of_concurrent_users*B_Ratio_of_BusObj_reports_0_to_100)*P_RAM_needed_for_BusObj_BOL_refresh</f>
        <v>560</v>
      </c>
    </row>
  </sheetData>
  <mergeCells count="35">
    <mergeCell ref="B50:E50"/>
    <mergeCell ref="B31:G31"/>
    <mergeCell ref="B6:G6"/>
    <mergeCell ref="B7:G7"/>
    <mergeCell ref="B8:G8"/>
    <mergeCell ref="B9:G9"/>
    <mergeCell ref="B10:G10"/>
    <mergeCell ref="B11:G11"/>
    <mergeCell ref="B37:H37"/>
    <mergeCell ref="B38:G38"/>
    <mergeCell ref="B47:E47"/>
    <mergeCell ref="B48:E48"/>
    <mergeCell ref="B49:E49"/>
    <mergeCell ref="B45:G46"/>
    <mergeCell ref="B41:G41"/>
    <mergeCell ref="B42:G42"/>
    <mergeCell ref="B43:G43"/>
    <mergeCell ref="B44:G44"/>
    <mergeCell ref="H10:H11"/>
    <mergeCell ref="B39:G39"/>
    <mergeCell ref="B40:G40"/>
    <mergeCell ref="B26:E26"/>
    <mergeCell ref="B33:E33"/>
    <mergeCell ref="B34:E34"/>
    <mergeCell ref="B15:F15"/>
    <mergeCell ref="B16:F16"/>
    <mergeCell ref="B17:F17"/>
    <mergeCell ref="B18:E18"/>
    <mergeCell ref="B23:E23"/>
    <mergeCell ref="B24:E24"/>
    <mergeCell ref="B25:E25"/>
    <mergeCell ref="B19:E19"/>
    <mergeCell ref="B20:E20"/>
    <mergeCell ref="B21:E21"/>
    <mergeCell ref="B22:E22"/>
  </mergeCells>
  <printOptions/>
  <pageMargins left="0.47" right="0.63" top="0.68" bottom="0.77" header="0.5" footer="0.5"/>
  <pageSetup horizontalDpi="600" verticalDpi="600" orientation="portrait" r:id="rId4"/>
  <headerFooter alignWithMargins="0">
    <oddFooter>&amp;L&amp;D&amp;C(c) 2003 Business Objects SA Confidential&amp;RPage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L75"/>
  <sheetViews>
    <sheetView showGridLines="0" workbookViewId="0" topLeftCell="A1">
      <selection activeCell="J64" sqref="J64"/>
    </sheetView>
  </sheetViews>
  <sheetFormatPr defaultColWidth="9.140625" defaultRowHeight="12.75"/>
  <cols>
    <col min="1" max="1" width="13.00390625" style="0" customWidth="1"/>
    <col min="2" max="2" width="12.57421875" style="0" bestFit="1" customWidth="1"/>
    <col min="3" max="3" width="11.7109375" style="0" customWidth="1"/>
    <col min="6" max="6" width="10.421875" style="0" bestFit="1" customWidth="1"/>
    <col min="10" max="10" width="59.28125" style="0" bestFit="1" customWidth="1"/>
  </cols>
  <sheetData>
    <row r="1" ht="12.75">
      <c r="A1" s="37"/>
    </row>
    <row r="2" ht="15">
      <c r="F2" s="2" t="s">
        <v>171</v>
      </c>
    </row>
    <row r="3" spans="3:9" ht="14.25">
      <c r="C3" s="13"/>
      <c r="D3" s="13"/>
      <c r="E3" s="13"/>
      <c r="F3" s="13" t="s">
        <v>200</v>
      </c>
      <c r="G3" s="13"/>
      <c r="H3" s="13"/>
      <c r="I3" s="13"/>
    </row>
    <row r="4" spans="1:3" ht="12.75">
      <c r="A4" s="5"/>
      <c r="B4" s="5"/>
      <c r="C4" s="5"/>
    </row>
    <row r="5" spans="1:12" ht="15.75">
      <c r="A5" s="255" t="s">
        <v>80</v>
      </c>
      <c r="C5" s="107"/>
      <c r="D5" s="107"/>
      <c r="I5" s="44"/>
      <c r="J5" s="44"/>
      <c r="K5" s="44"/>
      <c r="L5" s="44"/>
    </row>
    <row r="6" spans="1:12" ht="12.75">
      <c r="A6" s="34"/>
      <c r="B6" s="145" t="s">
        <v>81</v>
      </c>
      <c r="C6" s="194"/>
      <c r="D6" s="194"/>
      <c r="E6" s="145"/>
      <c r="F6" s="145"/>
      <c r="G6" s="145"/>
      <c r="H6" s="250">
        <v>1000</v>
      </c>
      <c r="I6" s="44"/>
      <c r="K6" s="44"/>
      <c r="L6" s="44"/>
    </row>
    <row r="7" spans="1:12" ht="12.75">
      <c r="A7" s="61"/>
      <c r="B7" s="145" t="s">
        <v>160</v>
      </c>
      <c r="C7" s="145"/>
      <c r="D7" s="145"/>
      <c r="E7" s="145"/>
      <c r="F7" s="145"/>
      <c r="G7" s="145"/>
      <c r="H7" s="251">
        <v>0.2</v>
      </c>
      <c r="I7" s="44"/>
      <c r="K7" s="44"/>
      <c r="L7" s="44"/>
    </row>
    <row r="8" spans="2:12" ht="12.75">
      <c r="B8" s="145" t="s">
        <v>161</v>
      </c>
      <c r="C8" s="145"/>
      <c r="D8" s="145"/>
      <c r="E8" s="145"/>
      <c r="F8" s="145"/>
      <c r="G8" s="145"/>
      <c r="H8" s="251">
        <v>0.5</v>
      </c>
      <c r="I8" s="44"/>
      <c r="K8" s="44"/>
      <c r="L8" s="44"/>
    </row>
    <row r="9" spans="2:12" ht="12.75" hidden="1">
      <c r="B9" s="157" t="s">
        <v>83</v>
      </c>
      <c r="C9" s="158"/>
      <c r="D9" s="158"/>
      <c r="E9" s="158"/>
      <c r="F9" s="158"/>
      <c r="G9" s="159"/>
      <c r="H9" s="195">
        <f>1-I29</f>
        <v>0.8</v>
      </c>
      <c r="I9" s="44"/>
      <c r="L9" s="44"/>
    </row>
    <row r="10" spans="2:12" ht="12.75" hidden="1">
      <c r="B10" s="191" t="s">
        <v>116</v>
      </c>
      <c r="C10" s="192"/>
      <c r="D10" s="192"/>
      <c r="E10" s="192"/>
      <c r="F10" s="192"/>
      <c r="G10" s="193"/>
      <c r="H10" s="195"/>
      <c r="I10" s="44"/>
      <c r="L10" s="44"/>
    </row>
    <row r="11" spans="9:12" ht="12.75">
      <c r="I11" s="44"/>
      <c r="L11" s="44"/>
    </row>
    <row r="12" spans="1:12" ht="16.5" thickBot="1">
      <c r="A12" s="255" t="s">
        <v>172</v>
      </c>
      <c r="C12" s="108"/>
      <c r="D12" s="108"/>
      <c r="I12" s="44"/>
      <c r="J12" s="44"/>
      <c r="K12" s="44"/>
      <c r="L12" s="44"/>
    </row>
    <row r="13" spans="2:9" ht="12.75">
      <c r="B13" s="199" t="s">
        <v>173</v>
      </c>
      <c r="C13" s="200"/>
      <c r="D13" s="200"/>
      <c r="E13" s="200"/>
      <c r="F13" s="200"/>
      <c r="G13" s="200"/>
      <c r="H13" s="201"/>
      <c r="I13" s="109"/>
    </row>
    <row r="14" spans="2:9" ht="12.75">
      <c r="B14" s="110"/>
      <c r="C14" s="145" t="s">
        <v>174</v>
      </c>
      <c r="D14" s="145"/>
      <c r="E14" s="145"/>
      <c r="F14" s="145"/>
      <c r="G14" s="145"/>
      <c r="H14" s="145"/>
      <c r="I14" s="256">
        <v>0</v>
      </c>
    </row>
    <row r="15" spans="2:9" ht="12.75">
      <c r="B15" s="110"/>
      <c r="C15" s="145" t="s">
        <v>175</v>
      </c>
      <c r="D15" s="145"/>
      <c r="E15" s="145"/>
      <c r="F15" s="145"/>
      <c r="G15" s="145"/>
      <c r="H15" s="145"/>
      <c r="I15" s="117">
        <f>1-DM_Pct_AnalyticDB_Users</f>
        <v>1</v>
      </c>
    </row>
    <row r="16" spans="2:9" ht="13.5" thickBot="1">
      <c r="B16" s="111"/>
      <c r="C16" s="202" t="s">
        <v>176</v>
      </c>
      <c r="D16" s="203"/>
      <c r="E16" s="203"/>
      <c r="F16" s="203"/>
      <c r="G16" s="203"/>
      <c r="H16" s="204"/>
      <c r="I16" s="118">
        <f>SUM(I14:I15)</f>
        <v>1</v>
      </c>
    </row>
    <row r="17" spans="3:9" ht="13.5" thickBot="1">
      <c r="C17" s="43"/>
      <c r="D17" s="43"/>
      <c r="E17" s="43"/>
      <c r="F17" s="43"/>
      <c r="G17" s="43"/>
      <c r="H17" s="112"/>
      <c r="I17" s="113"/>
    </row>
    <row r="18" spans="2:9" ht="12.75">
      <c r="B18" s="199" t="s">
        <v>177</v>
      </c>
      <c r="C18" s="200"/>
      <c r="D18" s="200"/>
      <c r="E18" s="200"/>
      <c r="F18" s="200"/>
      <c r="G18" s="200"/>
      <c r="H18" s="201"/>
      <c r="I18" s="109"/>
    </row>
    <row r="19" spans="2:9" ht="12.75">
      <c r="B19" s="110"/>
      <c r="C19" s="145" t="s">
        <v>178</v>
      </c>
      <c r="D19" s="145"/>
      <c r="E19" s="145"/>
      <c r="F19" s="145"/>
      <c r="G19" s="145"/>
      <c r="H19" s="145"/>
      <c r="I19" s="257">
        <v>0</v>
      </c>
    </row>
    <row r="20" spans="2:9" ht="12.75">
      <c r="B20" s="110"/>
      <c r="C20" s="145" t="s">
        <v>179</v>
      </c>
      <c r="D20" s="145"/>
      <c r="E20" s="145"/>
      <c r="F20" s="145"/>
      <c r="G20" s="145"/>
      <c r="H20" s="145"/>
      <c r="I20" s="257">
        <v>0</v>
      </c>
    </row>
    <row r="21" spans="2:9" ht="13.5" thickBot="1">
      <c r="B21" s="111"/>
      <c r="C21" s="205" t="s">
        <v>180</v>
      </c>
      <c r="D21" s="205"/>
      <c r="E21" s="205"/>
      <c r="F21" s="205"/>
      <c r="G21" s="205"/>
      <c r="H21" s="205"/>
      <c r="I21" s="258">
        <v>4</v>
      </c>
    </row>
    <row r="22" spans="3:9" ht="13.5" thickBot="1">
      <c r="C22" s="43"/>
      <c r="D22" s="43"/>
      <c r="E22" s="43"/>
      <c r="F22" s="43"/>
      <c r="G22" s="43"/>
      <c r="H22" s="43"/>
      <c r="I22" s="113"/>
    </row>
    <row r="23" spans="2:9" ht="12.75">
      <c r="B23" s="199" t="s">
        <v>181</v>
      </c>
      <c r="C23" s="200"/>
      <c r="D23" s="200"/>
      <c r="E23" s="200"/>
      <c r="F23" s="200"/>
      <c r="G23" s="200"/>
      <c r="H23" s="201"/>
      <c r="I23" s="114"/>
    </row>
    <row r="24" spans="2:9" ht="12.75">
      <c r="B24" s="110"/>
      <c r="C24" s="145" t="s">
        <v>178</v>
      </c>
      <c r="D24" s="145"/>
      <c r="E24" s="145"/>
      <c r="F24" s="145"/>
      <c r="G24" s="145"/>
      <c r="H24" s="145"/>
      <c r="I24" s="257">
        <v>1</v>
      </c>
    </row>
    <row r="25" spans="2:9" ht="12.75">
      <c r="B25" s="110"/>
      <c r="C25" s="145" t="s">
        <v>182</v>
      </c>
      <c r="D25" s="145"/>
      <c r="E25" s="145"/>
      <c r="F25" s="145"/>
      <c r="G25" s="145"/>
      <c r="H25" s="145"/>
      <c r="I25" s="257">
        <v>1</v>
      </c>
    </row>
    <row r="26" spans="2:9" ht="13.5" thickBot="1">
      <c r="B26" s="111"/>
      <c r="C26" s="205" t="s">
        <v>183</v>
      </c>
      <c r="D26" s="205"/>
      <c r="E26" s="205"/>
      <c r="F26" s="205"/>
      <c r="G26" s="205"/>
      <c r="H26" s="205"/>
      <c r="I26" s="258">
        <v>0</v>
      </c>
    </row>
    <row r="27" spans="3:9" ht="13.5" thickBot="1">
      <c r="C27" s="43"/>
      <c r="D27" s="43"/>
      <c r="E27" s="43"/>
      <c r="F27" s="43"/>
      <c r="G27" s="43"/>
      <c r="H27" s="43"/>
      <c r="I27" s="113"/>
    </row>
    <row r="28" spans="2:9" ht="12.75">
      <c r="B28" s="199" t="s">
        <v>184</v>
      </c>
      <c r="C28" s="200"/>
      <c r="D28" s="200"/>
      <c r="E28" s="200"/>
      <c r="F28" s="200"/>
      <c r="G28" s="200"/>
      <c r="H28" s="201"/>
      <c r="I28" s="115"/>
    </row>
    <row r="29" spans="2:9" ht="24.75" customHeight="1" thickBot="1">
      <c r="B29" s="111"/>
      <c r="C29" s="196" t="s">
        <v>185</v>
      </c>
      <c r="D29" s="197"/>
      <c r="E29" s="197"/>
      <c r="F29" s="197"/>
      <c r="G29" s="197"/>
      <c r="H29" s="198"/>
      <c r="I29" s="259">
        <v>0.2</v>
      </c>
    </row>
    <row r="30" spans="2:9" ht="12.75">
      <c r="B30" s="5"/>
      <c r="C30" s="43"/>
      <c r="D30" s="43"/>
      <c r="E30" s="43"/>
      <c r="F30" s="43"/>
      <c r="G30" s="43"/>
      <c r="H30" s="43"/>
      <c r="I30" s="113"/>
    </row>
    <row r="31" spans="1:12" ht="15.75" thickBot="1">
      <c r="A31" s="42" t="s">
        <v>84</v>
      </c>
      <c r="B31" s="43"/>
      <c r="C31" s="43"/>
      <c r="I31" s="44"/>
      <c r="J31" s="44"/>
      <c r="K31" s="44"/>
      <c r="L31" s="44"/>
    </row>
    <row r="32" spans="2:11" ht="18.75" thickBot="1">
      <c r="B32" s="46">
        <f>MAX((D_You_need_a_control_node+D_Number_of_WIQT_Nodes+D_Number_of_BusObj_BOL_nodes),ROUNDUP(D_Peak_number_of_concurrent_users/P_Max_Num_Proc,0))</f>
        <v>4</v>
      </c>
      <c r="C32" s="53" t="str">
        <f>IF(B32=1,"server","servers")</f>
        <v>servers</v>
      </c>
      <c r="D32" s="43"/>
      <c r="E32" s="43"/>
      <c r="F32" s="43"/>
      <c r="G32" s="52"/>
      <c r="K32" s="14"/>
    </row>
    <row r="33" spans="2:6" ht="14.25">
      <c r="B33" s="186">
        <f>IF((D_Recommended_Configuration&gt;1),(IF(AND((D_Total_RAM_needed&lt;P_Amount_of_RAM_per_server),(D_Total_number_of_CPUs&lt;P_Nb_of_CPU_per_server)),"You COULD use just one server","")),"")</f>
      </c>
      <c r="C33" s="186"/>
      <c r="D33" s="186"/>
      <c r="E33" s="186"/>
      <c r="F33" s="186"/>
    </row>
    <row r="34" spans="2:6" ht="12.75">
      <c r="B34" s="187" t="s">
        <v>115</v>
      </c>
      <c r="C34" s="187"/>
      <c r="D34" s="187"/>
      <c r="E34" s="187"/>
      <c r="F34" s="187"/>
    </row>
    <row r="35" spans="2:6" ht="12.75">
      <c r="B35" s="126">
        <f>IF(D_Recommended_Configuration=1,"You only need one server","")</f>
      </c>
      <c r="C35" s="126"/>
      <c r="D35" s="126"/>
      <c r="E35" s="126"/>
      <c r="F35" s="126"/>
    </row>
    <row r="36" spans="2:9" ht="12.75">
      <c r="B36" s="185">
        <f>IF(D_Recommended_Configuration=1,"RAM size on that server (MB)","")</f>
      </c>
      <c r="C36" s="185"/>
      <c r="D36" s="185"/>
      <c r="E36" s="185"/>
      <c r="F36" s="69">
        <f>IF(D_Recommended_Configuration&lt;&gt;1,"",IF(D_Total_RAM_needed&lt;P_Mem_Inc,256,IF(D_Total_RAM_needed&lt;512,512,IF(D_Total_RAM_needed&lt;P_Mem_Inc,P_Mem_Inc,P_Mem_Inc*ROUNDUP(D_RAM_needed_for_WIQTs/D_Number_of_WIQT_Nodes/P_Mem_Inc,0)))))</f>
      </c>
      <c r="I36" s="48"/>
    </row>
    <row r="37" spans="2:9" ht="13.5" thickBot="1">
      <c r="B37" s="184">
        <f>IF(D_Recommended_Configuration=1,"Number of processors on that server","")</f>
      </c>
      <c r="C37" s="184"/>
      <c r="D37" s="184"/>
      <c r="E37" s="184"/>
      <c r="F37" s="70">
        <f>IF(D_Recommended_Configuration=1,MAX(2,IF(D_Number_of_CPUs_needed_for_WIQT+H71=3,4,D_Number_of_CPUs_needed_for_WIQT+H71)),"")</f>
      </c>
      <c r="I37" s="48"/>
    </row>
    <row r="38" spans="2:9" ht="13.5" thickBot="1">
      <c r="B38" s="172" t="str">
        <f>IF(OR(B32&lt;3,P_Do_you_want_a_control_node="NO"),"","You need an Web/App Server")</f>
        <v>You need an Web/App Server</v>
      </c>
      <c r="C38" s="173"/>
      <c r="D38" s="173"/>
      <c r="E38" s="174"/>
      <c r="F38" s="68">
        <f>IF(P_Do_you_want_a_control_node="NO",0,IF(D_Number_of_BusObj_BOL_nodes+D_Number_of_WIQT_Nodes&lt;3,0,1))</f>
        <v>1</v>
      </c>
      <c r="I38" s="48"/>
    </row>
    <row r="39" spans="2:9" ht="12.75">
      <c r="B39" s="169" t="str">
        <f>IF(D_Recommended_Configuration=1,"","Number of BusObj/BOL nodes")</f>
        <v>Number of BusObj/BOL nodes</v>
      </c>
      <c r="C39" s="170"/>
      <c r="D39" s="170"/>
      <c r="E39" s="171"/>
      <c r="F39" s="63">
        <f>MAX(ROUNDUP(D_Number_of_CPUs_needed_for_BusObj_BOL/P_Nb_of_CPU_per_server,0),ROUNDUP(D_RAM_needed_for_BusObj_BOL/P_Amount_of_RAM_per_server,0))</f>
        <v>1</v>
      </c>
      <c r="I39" s="48"/>
    </row>
    <row r="40" spans="2:12" ht="12.75">
      <c r="B40" s="253" t="str">
        <f>IF(D_Number_of_BusObj_BOL_nodes=0,"","Minimum RAM needed per server BusObj/BOL")</f>
        <v>Minimum RAM needed per server BusObj/BOL</v>
      </c>
      <c r="C40" s="253"/>
      <c r="D40" s="253"/>
      <c r="E40" s="253"/>
      <c r="F40" s="64">
        <f>IF(D_Number_of_BusObj_BOL_nodes=0,0,IF(D_RAM_needed_for_BusObj_BOL/D_Number_of_BusObj_BOL_nodes&lt;P_Node_HiWater,P_Node_HiWater,IF(D_RAM_needed_for_BusObj_BOL/D_Number_of_BusObj_BOL_nodes&lt;P_Mem_Inc,P_Mem_Inc,P_Mem_Inc*ROUNDUP(D_RAM_needed_for_WIQTs/D_Number_of_WIQT_Nodes/P_Mem_Inc,0))))</f>
        <v>0</v>
      </c>
      <c r="I40" s="48"/>
      <c r="L40" s="48"/>
    </row>
    <row r="41" spans="2:12" ht="13.5" thickBot="1">
      <c r="B41" s="254" t="str">
        <f>IF(D_Number_of_BusObj_BOL_nodes=0,"","Number of CPUs per server BusObj")</f>
        <v>Number of CPUs per server BusObj</v>
      </c>
      <c r="C41" s="254"/>
      <c r="D41" s="254"/>
      <c r="E41" s="254"/>
      <c r="F41" s="65">
        <f>IF(D_Minimum_RAM_needed_per_server_BusObj_BOL=0,0,IF(ROUNDUP(D_Number_of_CPUs_needed_for_BusObj_BOL/D_Number_of_BusObj_BOL_nodes,0)&lt;3,2,ROUNDUP((D_Number_of_CPUs_needed_for_BusObj_BOL)/D_Number_of_BusObj_BOL_nodes,0)))</f>
        <v>0</v>
      </c>
      <c r="I41" s="48"/>
      <c r="L41" s="48"/>
    </row>
    <row r="42" spans="2:12" ht="12.75">
      <c r="B42" s="169" t="str">
        <f>IF(D_Number_of_WIQT_Nodes=0,"","Number of WIQT nodes")</f>
        <v>Number of WIQT nodes</v>
      </c>
      <c r="C42" s="170"/>
      <c r="D42" s="170"/>
      <c r="E42" s="171"/>
      <c r="F42" s="63">
        <f>MAX(ROUNDUP(D_Number_of_CPUs_needed_for_WIQT/P_Nb_of_CPU_per_server,0),ROUNDUP(D_RAM_needed_for_WIQTs/P_Amount_of_RAM_per_server,0))</f>
        <v>2</v>
      </c>
      <c r="I42" s="48"/>
      <c r="L42" s="48"/>
    </row>
    <row r="43" spans="2:12" ht="12.75">
      <c r="B43" s="160" t="str">
        <f>IF(D_Number_of_WIQT_Nodes=0,"","Minimum RAM needed per server WIQT")</f>
        <v>Minimum RAM needed per server WIQT</v>
      </c>
      <c r="C43" s="160"/>
      <c r="D43" s="160"/>
      <c r="E43" s="160"/>
      <c r="F43" s="64">
        <f>IF(D_Number_of_WIQT_Nodes=0,0,IF(D_RAM_needed_for_WIQTs/D_Number_of_WIQT_Nodes&lt;P_Node_HiWater,P_Node_HiWater,IF(D_RAM_needed_for_WIQTs/D_Number_of_WIQT_Nodes&lt;P_Mem_Inc,P_Mem_Inc,P_Mem_Inc*ROUNDUP(D_RAM_needed_for_WIQTs/D_Number_of_WIQT_Nodes/P_Mem_Inc,0))))</f>
        <v>512</v>
      </c>
      <c r="I43" s="48"/>
      <c r="L43" s="48"/>
    </row>
    <row r="44" spans="2:12" ht="12.75">
      <c r="B44" s="160" t="str">
        <f>IF(D_Number_of_WIQT_Nodes=0,"","Number of CPUs per server WIQT")</f>
        <v>Number of CPUs per server WIQT</v>
      </c>
      <c r="C44" s="160"/>
      <c r="D44" s="160"/>
      <c r="E44" s="160"/>
      <c r="F44" s="64">
        <f>IF(D_Minimum_RAM_needed_per_server_WIQT=0,0,IF(ROUNDUP((D_Number_of_CPUs_needed_for_WIQT)/D_Number_of_WIQT_Nodes,0)&lt;3,2,ROUNDUP((D_Number_of_CPUs_needed_for_WIQT)/D_Number_of_WIQT_Nodes,0)))</f>
        <v>4</v>
      </c>
      <c r="I44" s="48"/>
      <c r="L44" s="48"/>
    </row>
    <row r="45" spans="9:12" ht="12.75">
      <c r="I45" s="48"/>
      <c r="L45" s="48"/>
    </row>
    <row r="46" spans="1:12" ht="15.75">
      <c r="A46" s="255" t="s">
        <v>100</v>
      </c>
      <c r="I46" s="48"/>
      <c r="L46" s="48"/>
    </row>
    <row r="47" spans="2:12" ht="12.75">
      <c r="B47" s="44" t="s">
        <v>109</v>
      </c>
      <c r="C47" s="44"/>
      <c r="I47" s="48"/>
      <c r="L47" s="48"/>
    </row>
    <row r="48" spans="2:12" ht="12.75">
      <c r="B48" s="44" t="s">
        <v>96</v>
      </c>
      <c r="C48" s="44"/>
      <c r="I48" s="48"/>
      <c r="L48" s="48"/>
    </row>
    <row r="49" spans="2:12" ht="40.5" customHeight="1">
      <c r="B49" s="190" t="s">
        <v>125</v>
      </c>
      <c r="C49" s="190"/>
      <c r="D49" s="190"/>
      <c r="E49" s="190"/>
      <c r="F49" s="190"/>
      <c r="G49" s="190"/>
      <c r="I49" s="48"/>
      <c r="J49" s="48"/>
      <c r="K49" s="48"/>
      <c r="L49" s="48"/>
    </row>
    <row r="50" spans="2:12" ht="12.75">
      <c r="B50" s="30"/>
      <c r="C50" s="30"/>
      <c r="D50" s="30"/>
      <c r="E50" s="30"/>
      <c r="F50" s="30"/>
      <c r="G50" s="30"/>
      <c r="I50" s="48"/>
      <c r="J50" s="48"/>
      <c r="K50" s="48"/>
      <c r="L50" s="48"/>
    </row>
    <row r="51" spans="2:6" ht="12.75">
      <c r="B51" s="182" t="s">
        <v>97</v>
      </c>
      <c r="C51" s="182"/>
      <c r="D51" s="182"/>
      <c r="E51" s="182"/>
      <c r="F51" s="50">
        <f>MAX(INT(D_Total_user_population*D_Peak_percentage_of_active_users),1)</f>
        <v>200</v>
      </c>
    </row>
    <row r="52" spans="2:6" ht="12.75">
      <c r="B52" s="182" t="s">
        <v>98</v>
      </c>
      <c r="C52" s="182"/>
      <c r="D52" s="182"/>
      <c r="E52" s="182"/>
      <c r="F52" s="50">
        <f>MAX(INT(D_Peak_Number_of_Active_Users*D_Peak_percentage_of_concurrent_users),1)</f>
        <v>100</v>
      </c>
    </row>
    <row r="53" spans="2:6" ht="12.75">
      <c r="B53" s="182" t="s">
        <v>186</v>
      </c>
      <c r="C53" s="182"/>
      <c r="D53" s="182"/>
      <c r="E53" s="182"/>
      <c r="F53" s="50">
        <f>D_Peak_number_of_concurrent_users*DM_Pct_AnalyticDB_Users*IF(DM_AnalyticDB_AvgQtyBOReports&gt;0,1,0)+D_Peak_number_of_concurrent_users*DM_Pct_ReportDB_Users*IF(DM_ReportDB_AvgQtyBOReports&gt;0,1,0)</f>
        <v>100</v>
      </c>
    </row>
    <row r="54" spans="2:6" ht="12.75">
      <c r="B54" s="182" t="s">
        <v>187</v>
      </c>
      <c r="C54" s="182"/>
      <c r="D54" s="182"/>
      <c r="E54" s="182"/>
      <c r="F54" s="50">
        <f>D_Peak_number_of_concurrent_users*DM_Pct_AnalyticDB_Users*IF(DM_AnalyticDB_AvgQtyWIReports&gt;0,1,0)+D_Peak_number_of_concurrent_users*DM_Pct_ReportDB_Users*IF(DM_ReportDB_AvgQtyWIReports&gt;0,1,0)</f>
        <v>100</v>
      </c>
    </row>
    <row r="56" ht="15.75">
      <c r="A56" s="255" t="s">
        <v>117</v>
      </c>
    </row>
    <row r="57" spans="2:8" ht="27.75" customHeight="1">
      <c r="B57" s="183" t="s">
        <v>99</v>
      </c>
      <c r="C57" s="183"/>
      <c r="D57" s="183"/>
      <c r="E57" s="183"/>
      <c r="F57" s="183"/>
      <c r="G57" s="183"/>
      <c r="H57" s="183"/>
    </row>
    <row r="58" spans="2:8" ht="12.75">
      <c r="B58" s="182" t="s">
        <v>192</v>
      </c>
      <c r="C58" s="182"/>
      <c r="D58" s="182"/>
      <c r="E58" s="182"/>
      <c r="F58" s="182"/>
      <c r="G58" s="182"/>
      <c r="H58" s="50">
        <f>(D_Peak_Number_of_Active_Users*P_RAM_needed_for_login)</f>
        <v>2000</v>
      </c>
    </row>
    <row r="59" spans="2:8" ht="12.75">
      <c r="B59" s="182" t="s">
        <v>87</v>
      </c>
      <c r="C59" s="182"/>
      <c r="D59" s="182"/>
      <c r="E59" s="182"/>
      <c r="F59" s="182"/>
      <c r="G59" s="182"/>
      <c r="H59" s="58">
        <f>ROUNDUP(P_RAM_needed_for_BusObj_BOL_refresh*DM_Peak_BO_Documents*(1-DM_Percentage_Content_Refresh),0)</f>
        <v>2240</v>
      </c>
    </row>
    <row r="60" spans="2:8" ht="12.75">
      <c r="B60" s="182" t="s">
        <v>188</v>
      </c>
      <c r="C60" s="182"/>
      <c r="D60" s="182"/>
      <c r="E60" s="182"/>
      <c r="F60" s="182"/>
      <c r="G60" s="182"/>
      <c r="H60" s="58">
        <f>D_Peak_Number_of_Active_Users*DM_Pct_AnalyticDB_Users*DM_AnalyticDB_AvgQtyBOReports+D_Peak_Number_of_Active_Users*DM_Pct_ReportDB_Users*DM_ReportDB_AvgQtyBOReports</f>
        <v>200</v>
      </c>
    </row>
    <row r="61" spans="2:8" ht="12.75">
      <c r="B61" s="182" t="s">
        <v>88</v>
      </c>
      <c r="C61" s="182"/>
      <c r="D61" s="182"/>
      <c r="E61" s="182"/>
      <c r="F61" s="182"/>
      <c r="G61" s="182"/>
      <c r="H61" s="50">
        <f>F53</f>
        <v>100</v>
      </c>
    </row>
    <row r="62" spans="2:8" ht="12.75">
      <c r="B62" s="182" t="s">
        <v>89</v>
      </c>
      <c r="C62" s="182"/>
      <c r="D62" s="182"/>
      <c r="E62" s="182"/>
      <c r="F62" s="182"/>
      <c r="G62" s="182"/>
      <c r="H62" s="50">
        <f>ROUNDUP((D_Peak_number_of_BusObj_BOL_processes)/P_Max_nb_of_BusObj_per_processor,0)</f>
        <v>4</v>
      </c>
    </row>
    <row r="63" spans="2:8" ht="12.75">
      <c r="B63" s="182" t="s">
        <v>189</v>
      </c>
      <c r="C63" s="182"/>
      <c r="D63" s="182"/>
      <c r="E63" s="182"/>
      <c r="F63" s="182"/>
      <c r="G63" s="182"/>
      <c r="H63" s="58">
        <f>D_Peak_Number_of_Active_Users*DM_Pct_AnalyticDB_Users*DM_AnalyticDB_AvgQtyWIReports+D_Peak_Number_of_Active_Users*DM_Pct_ReportDB_Users*DM_ReportDB_AvgQtyWIReports</f>
        <v>200</v>
      </c>
    </row>
    <row r="64" spans="2:8" ht="12.75">
      <c r="B64" s="182" t="s">
        <v>90</v>
      </c>
      <c r="C64" s="182"/>
      <c r="D64" s="182"/>
      <c r="E64" s="182"/>
      <c r="F64" s="182"/>
      <c r="G64" s="182"/>
      <c r="H64" s="50">
        <f>(DM_Peak_WIQTs*(P_RAM_needed_by_WIQT_for_login_refresh-P_RAM_needed_for_login))</f>
        <v>0</v>
      </c>
    </row>
    <row r="65" spans="2:8" ht="12.75">
      <c r="B65" s="182" t="s">
        <v>91</v>
      </c>
      <c r="C65" s="182"/>
      <c r="D65" s="182"/>
      <c r="E65" s="182"/>
      <c r="F65" s="182"/>
      <c r="G65" s="182"/>
      <c r="H65" s="50">
        <f>INT(D_Peak_number_of_concurrent_users)+(DM_Peak_number_WIReport_users)</f>
        <v>200</v>
      </c>
    </row>
    <row r="66" spans="2:8" ht="12.75">
      <c r="B66" s="182" t="s">
        <v>92</v>
      </c>
      <c r="C66" s="182"/>
      <c r="D66" s="182"/>
      <c r="E66" s="182"/>
      <c r="F66" s="182"/>
      <c r="G66" s="182"/>
      <c r="H66" s="50">
        <f>ROUNDUP(D_Peak_number_of_busy_WIQTs/P_Max_nb_of_WIQT_per_CPU,0)</f>
        <v>7</v>
      </c>
    </row>
    <row r="67" spans="2:8" ht="12.75">
      <c r="B67" s="182" t="s">
        <v>190</v>
      </c>
      <c r="C67" s="182"/>
      <c r="D67" s="182"/>
      <c r="E67" s="182"/>
      <c r="F67" s="182"/>
      <c r="G67" s="182"/>
      <c r="H67" s="58">
        <f>D_Peak_Number_of_Active_Users*DM_Pct_AnalyticDB_Users*DM_AnalyticDB_AvgQtyAnalytics+D_Peak_Number_of_Active_Users*DM_Pct_ReportDB_Users*DM_ReportDB_AvgQtyAnalytics</f>
        <v>0</v>
      </c>
    </row>
    <row r="68" spans="2:8" ht="12.75">
      <c r="B68" s="182" t="s">
        <v>191</v>
      </c>
      <c r="C68" s="182"/>
      <c r="D68" s="182"/>
      <c r="E68" s="182"/>
      <c r="F68" s="182"/>
      <c r="G68" s="182"/>
      <c r="H68" s="58">
        <v>320</v>
      </c>
    </row>
    <row r="69" spans="2:8" ht="12.75">
      <c r="B69" s="182" t="s">
        <v>93</v>
      </c>
      <c r="C69" s="182"/>
      <c r="D69" s="182"/>
      <c r="E69" s="182"/>
      <c r="F69" s="182"/>
      <c r="G69" s="182"/>
      <c r="H69" s="50">
        <f>D_RAM_needed_for_BusObj_BOL+D_RAM_needed_for_WIQTs+P_RAM_overhead_OS_WebI_core+D_RAM_needed_for_Login+D_RAM_needed_for_Analytics</f>
        <v>4724</v>
      </c>
    </row>
    <row r="70" spans="2:8" ht="12.75" customHeight="1">
      <c r="B70" s="181" t="s">
        <v>94</v>
      </c>
      <c r="C70" s="181"/>
      <c r="D70" s="181"/>
      <c r="E70" s="181"/>
      <c r="F70" s="181"/>
      <c r="G70" s="181"/>
      <c r="H70" s="50">
        <f>D_Number_of_CPUs_needed_for_BusObj_BOL+D_Number_of_CPUs_needed_for_WIQT</f>
        <v>11</v>
      </c>
    </row>
    <row r="71" spans="2:8" ht="12.75">
      <c r="B71" s="181"/>
      <c r="C71" s="181"/>
      <c r="D71" s="181"/>
      <c r="E71" s="181"/>
      <c r="F71" s="181"/>
      <c r="G71" s="181"/>
      <c r="H71" s="56"/>
    </row>
    <row r="72" spans="2:6" ht="12.75">
      <c r="B72" s="188" t="s">
        <v>110</v>
      </c>
      <c r="C72" s="188"/>
      <c r="D72" s="188"/>
      <c r="E72" s="188"/>
      <c r="F72" s="60">
        <f>(D_Peak_Number_of_Active_Users*P_RAM_needed_for_login)</f>
        <v>2000</v>
      </c>
    </row>
    <row r="73" spans="2:6" ht="12.75">
      <c r="B73" s="189" t="s">
        <v>111</v>
      </c>
      <c r="C73" s="189"/>
      <c r="D73" s="189"/>
      <c r="E73" s="189"/>
      <c r="F73" s="57">
        <f>((D_Peak_number_of_concurrent_users*(DM_Peak_BO_Documents*(1-DM_Percentage_Content_Refresh)))*(P_RAM_needed_by_WIQT_for_login_refresh-P_RAM_needed_for_login))</f>
        <v>0</v>
      </c>
    </row>
    <row r="74" spans="2:6" ht="12.75">
      <c r="B74" s="189" t="s">
        <v>112</v>
      </c>
      <c r="C74" s="189"/>
      <c r="D74" s="189"/>
      <c r="E74" s="189"/>
      <c r="F74" s="57" t="e">
        <f>((1-D_Percentage_of_users_with_just_InfoView)*(D_Ratio_of_BusObj_reports_0_to_100*D_Peak_number_of_concurrent_users))*P_RAM_needed_for_login</f>
        <v>#REF!</v>
      </c>
    </row>
    <row r="75" spans="2:6" ht="12.75">
      <c r="B75" s="189" t="s">
        <v>113</v>
      </c>
      <c r="C75" s="189"/>
      <c r="D75" s="189"/>
      <c r="E75" s="189"/>
      <c r="F75" s="57" t="e">
        <f>(D_Peak_number_of_concurrent_users*D_Ratio_of_BusObj_reports_0_to_100)*P_RAM_needed_for_BusObj_BOL_refresh</f>
        <v>#REF!</v>
      </c>
    </row>
  </sheetData>
  <mergeCells count="55">
    <mergeCell ref="B63:G63"/>
    <mergeCell ref="C21:H21"/>
    <mergeCell ref="C24:H24"/>
    <mergeCell ref="C25:H25"/>
    <mergeCell ref="C26:H26"/>
    <mergeCell ref="B41:E41"/>
    <mergeCell ref="B42:E42"/>
    <mergeCell ref="B43:E43"/>
    <mergeCell ref="B37:E37"/>
    <mergeCell ref="B61:G61"/>
    <mergeCell ref="C19:H19"/>
    <mergeCell ref="C20:H20"/>
    <mergeCell ref="B60:G60"/>
    <mergeCell ref="B38:E38"/>
    <mergeCell ref="B39:E39"/>
    <mergeCell ref="B40:E40"/>
    <mergeCell ref="B36:E36"/>
    <mergeCell ref="B23:H23"/>
    <mergeCell ref="B28:H28"/>
    <mergeCell ref="B58:G58"/>
    <mergeCell ref="H9:H10"/>
    <mergeCell ref="B33:F33"/>
    <mergeCell ref="B34:F34"/>
    <mergeCell ref="B35:F35"/>
    <mergeCell ref="C29:H29"/>
    <mergeCell ref="C14:H14"/>
    <mergeCell ref="B13:H13"/>
    <mergeCell ref="C16:H16"/>
    <mergeCell ref="B18:H18"/>
    <mergeCell ref="C15:H15"/>
    <mergeCell ref="B62:G62"/>
    <mergeCell ref="B44:E44"/>
    <mergeCell ref="B51:E51"/>
    <mergeCell ref="B52:E52"/>
    <mergeCell ref="B53:E53"/>
    <mergeCell ref="B54:E54"/>
    <mergeCell ref="B73:E73"/>
    <mergeCell ref="B74:E74"/>
    <mergeCell ref="B70:G71"/>
    <mergeCell ref="B64:G64"/>
    <mergeCell ref="B65:G65"/>
    <mergeCell ref="B66:G66"/>
    <mergeCell ref="B69:G69"/>
    <mergeCell ref="B67:G67"/>
    <mergeCell ref="B68:G68"/>
    <mergeCell ref="B75:E75"/>
    <mergeCell ref="B49:G49"/>
    <mergeCell ref="B6:G6"/>
    <mergeCell ref="B7:G7"/>
    <mergeCell ref="B8:G8"/>
    <mergeCell ref="B9:G9"/>
    <mergeCell ref="B10:G10"/>
    <mergeCell ref="B57:H57"/>
    <mergeCell ref="B59:G59"/>
    <mergeCell ref="B72:E72"/>
  </mergeCells>
  <printOptions/>
  <pageMargins left="0.47" right="0.63" top="0.68" bottom="0.77" header="0.5" footer="0.5"/>
  <pageSetup horizontalDpi="600" verticalDpi="600" orientation="portrait" r:id="rId4"/>
  <headerFooter alignWithMargins="0">
    <oddFooter>&amp;L&amp;D&amp;C(c) 2003 Business Objects SA Confidential&amp;RPage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4"/>
  </sheetPr>
  <dimension ref="A1:K39"/>
  <sheetViews>
    <sheetView workbookViewId="0" topLeftCell="A12">
      <selection activeCell="A32" sqref="A32"/>
    </sheetView>
  </sheetViews>
  <sheetFormatPr defaultColWidth="9.140625" defaultRowHeight="12.75"/>
  <sheetData>
    <row r="1" spans="1:6" ht="15">
      <c r="A1" s="37"/>
      <c r="F1" s="2" t="s">
        <v>78</v>
      </c>
    </row>
    <row r="4" ht="15">
      <c r="A4" s="260" t="s">
        <v>66</v>
      </c>
    </row>
    <row r="5" ht="12.75">
      <c r="B5" s="16" t="s">
        <v>67</v>
      </c>
    </row>
    <row r="6" ht="16.5">
      <c r="A6" s="38"/>
    </row>
    <row r="7" ht="15">
      <c r="A7" s="260" t="s">
        <v>68</v>
      </c>
    </row>
    <row r="8" spans="2:11" ht="12.75">
      <c r="B8" s="206" t="s">
        <v>69</v>
      </c>
      <c r="C8" s="206"/>
      <c r="D8" s="206"/>
      <c r="E8" s="206"/>
      <c r="F8" s="206"/>
      <c r="G8" s="206"/>
      <c r="H8" s="206"/>
      <c r="I8" s="206"/>
      <c r="J8" s="206"/>
      <c r="K8" s="206"/>
    </row>
    <row r="9" spans="1:11" ht="16.5">
      <c r="A9" s="38"/>
      <c r="B9" s="206"/>
      <c r="C9" s="206"/>
      <c r="D9" s="206"/>
      <c r="E9" s="206"/>
      <c r="F9" s="206"/>
      <c r="G9" s="206"/>
      <c r="H9" s="206"/>
      <c r="I9" s="206"/>
      <c r="J9" s="206"/>
      <c r="K9" s="206"/>
    </row>
    <row r="11" ht="15">
      <c r="A11" s="260" t="s">
        <v>107</v>
      </c>
    </row>
    <row r="12" ht="12.75">
      <c r="B12" s="16" t="s">
        <v>108</v>
      </c>
    </row>
    <row r="13" spans="1:11" ht="16.5">
      <c r="A13" s="38"/>
      <c r="B13" s="40"/>
      <c r="C13" s="40"/>
      <c r="D13" s="40"/>
      <c r="E13" s="40"/>
      <c r="F13" s="40"/>
      <c r="G13" s="40"/>
      <c r="H13" s="40"/>
      <c r="I13" s="40"/>
      <c r="J13" s="40"/>
      <c r="K13" s="40"/>
    </row>
    <row r="14" ht="15">
      <c r="A14" s="260" t="s">
        <v>101</v>
      </c>
    </row>
    <row r="15" ht="12.75">
      <c r="B15" s="16" t="s">
        <v>104</v>
      </c>
    </row>
    <row r="16" spans="1:11" ht="16.5">
      <c r="A16" s="38"/>
      <c r="B16" s="39"/>
      <c r="C16" s="39"/>
      <c r="D16" s="39"/>
      <c r="E16" s="39"/>
      <c r="F16" s="39"/>
      <c r="G16" s="39"/>
      <c r="H16" s="39"/>
      <c r="I16" s="39"/>
      <c r="J16" s="39"/>
      <c r="K16" s="39"/>
    </row>
    <row r="17" ht="15">
      <c r="A17" s="260" t="s">
        <v>70</v>
      </c>
    </row>
    <row r="18" spans="2:11" ht="12.75">
      <c r="B18" s="206" t="s">
        <v>77</v>
      </c>
      <c r="C18" s="206"/>
      <c r="D18" s="206"/>
      <c r="E18" s="206"/>
      <c r="F18" s="206"/>
      <c r="G18" s="206"/>
      <c r="H18" s="206"/>
      <c r="I18" s="206"/>
      <c r="J18" s="206"/>
      <c r="K18" s="206"/>
    </row>
    <row r="19" spans="2:11" ht="12.75">
      <c r="B19" s="206"/>
      <c r="C19" s="206"/>
      <c r="D19" s="206"/>
      <c r="E19" s="206"/>
      <c r="F19" s="206"/>
      <c r="G19" s="206"/>
      <c r="H19" s="206"/>
      <c r="I19" s="206"/>
      <c r="J19" s="206"/>
      <c r="K19" s="206"/>
    </row>
    <row r="20" spans="2:11" ht="12.75">
      <c r="B20" s="206"/>
      <c r="C20" s="206"/>
      <c r="D20" s="206"/>
      <c r="E20" s="206"/>
      <c r="F20" s="206"/>
      <c r="G20" s="206"/>
      <c r="H20" s="206"/>
      <c r="I20" s="206"/>
      <c r="J20" s="206"/>
      <c r="K20" s="206"/>
    </row>
    <row r="21" spans="2:11" ht="12.75">
      <c r="B21" s="211" t="s">
        <v>71</v>
      </c>
      <c r="C21" s="211"/>
      <c r="D21" s="211"/>
      <c r="E21" s="211"/>
      <c r="F21" s="211"/>
      <c r="G21" s="211"/>
      <c r="H21" s="211"/>
      <c r="I21" s="211"/>
      <c r="J21" s="211"/>
      <c r="K21" s="211"/>
    </row>
    <row r="22" spans="2:11" ht="12.75">
      <c r="B22" s="211"/>
      <c r="C22" s="211"/>
      <c r="D22" s="211"/>
      <c r="E22" s="211"/>
      <c r="F22" s="211"/>
      <c r="G22" s="211"/>
      <c r="H22" s="211"/>
      <c r="I22" s="211"/>
      <c r="J22" s="211"/>
      <c r="K22" s="211"/>
    </row>
    <row r="23" spans="1:11" ht="16.5">
      <c r="A23" s="38"/>
      <c r="B23" s="212"/>
      <c r="C23" s="212"/>
      <c r="D23" s="212"/>
      <c r="E23" s="212"/>
      <c r="F23" s="212"/>
      <c r="G23" s="212"/>
      <c r="H23" s="212"/>
      <c r="I23" s="212"/>
      <c r="J23" s="212"/>
      <c r="K23" s="212"/>
    </row>
    <row r="24" spans="1:11" ht="16.5">
      <c r="A24" s="38"/>
      <c r="B24" s="8"/>
      <c r="C24" s="8"/>
      <c r="D24" s="8"/>
      <c r="E24" s="8"/>
      <c r="F24" s="8"/>
      <c r="G24" s="8"/>
      <c r="H24" s="8"/>
      <c r="I24" s="8"/>
      <c r="J24" s="8"/>
      <c r="K24" s="8"/>
    </row>
    <row r="25" ht="15">
      <c r="A25" s="260" t="s">
        <v>102</v>
      </c>
    </row>
    <row r="26" ht="12.75">
      <c r="B26" s="16" t="s">
        <v>103</v>
      </c>
    </row>
    <row r="27" spans="1:11" ht="16.5">
      <c r="A27" s="38"/>
      <c r="B27" s="39"/>
      <c r="C27" s="39"/>
      <c r="D27" s="39"/>
      <c r="E27" s="39"/>
      <c r="F27" s="39"/>
      <c r="G27" s="39"/>
      <c r="H27" s="39"/>
      <c r="I27" s="39"/>
      <c r="J27" s="39"/>
      <c r="K27" s="39"/>
    </row>
    <row r="28" ht="15">
      <c r="A28" s="260" t="s">
        <v>106</v>
      </c>
    </row>
    <row r="29" spans="2:11" ht="12.75">
      <c r="B29" s="207" t="s">
        <v>105</v>
      </c>
      <c r="C29" s="207"/>
      <c r="D29" s="207"/>
      <c r="E29" s="207"/>
      <c r="F29" s="207"/>
      <c r="G29" s="207"/>
      <c r="H29" s="207"/>
      <c r="I29" s="207"/>
      <c r="J29" s="207"/>
      <c r="K29" s="207"/>
    </row>
    <row r="30" spans="1:11" ht="16.5">
      <c r="A30" s="38"/>
      <c r="B30" s="207"/>
      <c r="C30" s="207"/>
      <c r="D30" s="207"/>
      <c r="E30" s="207"/>
      <c r="F30" s="207"/>
      <c r="G30" s="207"/>
      <c r="H30" s="207"/>
      <c r="I30" s="207"/>
      <c r="J30" s="207"/>
      <c r="K30" s="207"/>
    </row>
    <row r="32" ht="15">
      <c r="A32" s="260" t="s">
        <v>72</v>
      </c>
    </row>
    <row r="33" spans="2:11" ht="12.75">
      <c r="B33" s="213" t="s">
        <v>73</v>
      </c>
      <c r="C33" s="213"/>
      <c r="D33" s="213"/>
      <c r="E33" s="213"/>
      <c r="F33" s="213"/>
      <c r="G33" s="213"/>
      <c r="H33" s="213"/>
      <c r="I33" s="213"/>
      <c r="J33" s="213"/>
      <c r="K33" s="213"/>
    </row>
    <row r="34" spans="2:11" ht="12.75">
      <c r="B34" s="213"/>
      <c r="C34" s="213"/>
      <c r="D34" s="213"/>
      <c r="E34" s="213"/>
      <c r="F34" s="213"/>
      <c r="G34" s="213"/>
      <c r="H34" s="213"/>
      <c r="I34" s="213"/>
      <c r="J34" s="213"/>
      <c r="K34" s="213"/>
    </row>
    <row r="35" spans="2:11" ht="12.75">
      <c r="B35" s="208" t="s">
        <v>74</v>
      </c>
      <c r="C35" s="209"/>
      <c r="D35" s="209"/>
      <c r="E35" s="209"/>
      <c r="F35" s="209"/>
      <c r="G35" s="209"/>
      <c r="H35" s="209"/>
      <c r="I35" s="209"/>
      <c r="J35" s="209"/>
      <c r="K35" s="209"/>
    </row>
    <row r="36" spans="2:11" ht="12.75">
      <c r="B36" s="209"/>
      <c r="C36" s="209"/>
      <c r="D36" s="209"/>
      <c r="E36" s="209"/>
      <c r="F36" s="209"/>
      <c r="G36" s="209"/>
      <c r="H36" s="209"/>
      <c r="I36" s="209"/>
      <c r="J36" s="209"/>
      <c r="K36" s="209"/>
    </row>
    <row r="37" spans="2:11" ht="12.75">
      <c r="B37" s="210" t="s">
        <v>75</v>
      </c>
      <c r="C37" s="210"/>
      <c r="D37" s="210"/>
      <c r="E37" s="210"/>
      <c r="F37" s="210"/>
      <c r="G37" s="210"/>
      <c r="H37" s="210"/>
      <c r="I37" s="210"/>
      <c r="J37" s="210"/>
      <c r="K37" s="210"/>
    </row>
    <row r="38" spans="2:11" ht="12.75">
      <c r="B38" s="211" t="s">
        <v>76</v>
      </c>
      <c r="C38" s="211"/>
      <c r="D38" s="211"/>
      <c r="E38" s="211"/>
      <c r="F38" s="211"/>
      <c r="G38" s="211"/>
      <c r="H38" s="211"/>
      <c r="I38" s="211"/>
      <c r="J38" s="211"/>
      <c r="K38" s="211"/>
    </row>
    <row r="39" spans="2:11" ht="12.75">
      <c r="B39" s="211"/>
      <c r="C39" s="211"/>
      <c r="D39" s="211"/>
      <c r="E39" s="211"/>
      <c r="F39" s="211"/>
      <c r="G39" s="211"/>
      <c r="H39" s="211"/>
      <c r="I39" s="211"/>
      <c r="J39" s="211"/>
      <c r="K39" s="211"/>
    </row>
  </sheetData>
  <mergeCells count="8">
    <mergeCell ref="B38:K39"/>
    <mergeCell ref="B18:K20"/>
    <mergeCell ref="B21:K23"/>
    <mergeCell ref="B33:K34"/>
    <mergeCell ref="B8:K9"/>
    <mergeCell ref="B29:K30"/>
    <mergeCell ref="B35:K36"/>
    <mergeCell ref="B37:K37"/>
  </mergeCells>
  <printOptions/>
  <pageMargins left="0.67" right="0.75" top="0.6" bottom="0.55" header="0.41" footer="0.34"/>
  <pageSetup horizontalDpi="600" verticalDpi="600" orientation="landscape" r:id="rId2"/>
  <headerFooter alignWithMargins="0">
    <oddFooter>&amp;LDate &amp;D&amp;C(c) 2003 Business Objects Confidential&amp;RPage &amp;P</oddFooter>
  </headerFooter>
  <drawing r:id="rId1"/>
</worksheet>
</file>

<file path=xl/worksheets/sheet7.xml><?xml version="1.0" encoding="utf-8"?>
<worksheet xmlns="http://schemas.openxmlformats.org/spreadsheetml/2006/main" xmlns:r="http://schemas.openxmlformats.org/officeDocument/2006/relationships">
  <sheetPr>
    <tabColor indexed="48"/>
  </sheetPr>
  <dimension ref="A1:M29"/>
  <sheetViews>
    <sheetView showGridLines="0" workbookViewId="0" topLeftCell="A2">
      <selection activeCell="A24" sqref="A24"/>
    </sheetView>
  </sheetViews>
  <sheetFormatPr defaultColWidth="9.140625" defaultRowHeight="12.75"/>
  <cols>
    <col min="3" max="3" width="9.7109375" style="0" customWidth="1"/>
    <col min="4" max="4" width="9.57421875" style="0" customWidth="1"/>
    <col min="6" max="6" width="4.140625" style="0" customWidth="1"/>
    <col min="9" max="9" width="7.140625" style="0" customWidth="1"/>
    <col min="10" max="10" width="7.421875" style="0" customWidth="1"/>
    <col min="12" max="12" width="7.7109375" style="0" customWidth="1"/>
    <col min="13" max="13" width="6.421875" style="0" customWidth="1"/>
  </cols>
  <sheetData>
    <row r="1" ht="12.75">
      <c r="A1" s="37"/>
    </row>
    <row r="2" spans="4:11" ht="15">
      <c r="D2" s="148" t="s">
        <v>28</v>
      </c>
      <c r="E2" s="148"/>
      <c r="F2" s="148"/>
      <c r="G2" s="148"/>
      <c r="H2" s="148"/>
      <c r="I2" s="148"/>
      <c r="J2" s="148"/>
      <c r="K2" s="148"/>
    </row>
    <row r="3" spans="4:11" ht="14.25">
      <c r="D3" s="149" t="s">
        <v>45</v>
      </c>
      <c r="E3" s="149"/>
      <c r="F3" s="149"/>
      <c r="G3" s="149"/>
      <c r="H3" s="149"/>
      <c r="I3" s="149"/>
      <c r="J3" s="149"/>
      <c r="K3" s="149"/>
    </row>
    <row r="4" spans="4:11" ht="14.25">
      <c r="D4" s="13"/>
      <c r="E4" s="13"/>
      <c r="F4" s="13"/>
      <c r="G4" s="13"/>
      <c r="H4" s="13"/>
      <c r="I4" s="13"/>
      <c r="J4" s="13"/>
      <c r="K4" s="13"/>
    </row>
    <row r="5" spans="4:7" ht="14.25">
      <c r="D5" s="13"/>
      <c r="E5" s="13"/>
      <c r="F5" s="13"/>
      <c r="G5" s="13"/>
    </row>
    <row r="6" ht="15.75">
      <c r="A6" s="255" t="s">
        <v>37</v>
      </c>
    </row>
    <row r="7" spans="2:5" ht="12.75">
      <c r="B7" s="145" t="s">
        <v>38</v>
      </c>
      <c r="C7" s="145"/>
      <c r="D7" s="145"/>
      <c r="E7" s="261">
        <v>15</v>
      </c>
    </row>
    <row r="8" spans="2:5" ht="12.75">
      <c r="B8" s="145" t="s">
        <v>39</v>
      </c>
      <c r="C8" s="145"/>
      <c r="D8" s="145"/>
      <c r="E8" s="261">
        <v>15</v>
      </c>
    </row>
    <row r="9" spans="2:6" ht="12.75">
      <c r="B9" s="145" t="s">
        <v>40</v>
      </c>
      <c r="C9" s="145"/>
      <c r="D9" s="145"/>
      <c r="E9" s="261">
        <v>128</v>
      </c>
      <c r="F9" t="s">
        <v>34</v>
      </c>
    </row>
    <row r="10" spans="2:6" ht="12.75">
      <c r="B10" s="145" t="s">
        <v>41</v>
      </c>
      <c r="C10" s="145"/>
      <c r="D10" s="145"/>
      <c r="E10" s="261">
        <v>10</v>
      </c>
      <c r="F10" t="s">
        <v>34</v>
      </c>
    </row>
    <row r="11" spans="2:6" ht="12.75">
      <c r="B11" s="152" t="s">
        <v>42</v>
      </c>
      <c r="C11" s="152"/>
      <c r="D11" s="152"/>
      <c r="E11" s="262">
        <v>30</v>
      </c>
      <c r="F11" s="146" t="s">
        <v>34</v>
      </c>
    </row>
    <row r="12" spans="2:6" ht="12.75">
      <c r="B12" s="152"/>
      <c r="C12" s="152"/>
      <c r="D12" s="152"/>
      <c r="E12" s="262"/>
      <c r="F12" s="146"/>
    </row>
    <row r="13" spans="2:6" ht="12.75">
      <c r="B13" s="133" t="s">
        <v>43</v>
      </c>
      <c r="C13" s="133"/>
      <c r="D13" s="133"/>
      <c r="E13" s="262">
        <v>15</v>
      </c>
      <c r="F13" s="146" t="s">
        <v>34</v>
      </c>
    </row>
    <row r="14" spans="2:6" ht="12.75">
      <c r="B14" s="133"/>
      <c r="C14" s="133"/>
      <c r="D14" s="133"/>
      <c r="E14" s="262"/>
      <c r="F14" s="146"/>
    </row>
    <row r="15" spans="2:5" ht="12.75">
      <c r="B15" s="138" t="s">
        <v>164</v>
      </c>
      <c r="C15" s="139"/>
      <c r="D15" s="140"/>
      <c r="E15" s="263">
        <v>0.9</v>
      </c>
    </row>
    <row r="16" spans="2:6" ht="12.75">
      <c r="B16" s="138" t="s">
        <v>168</v>
      </c>
      <c r="C16" s="139"/>
      <c r="D16" s="140"/>
      <c r="E16" s="261">
        <v>100</v>
      </c>
      <c r="F16" t="s">
        <v>170</v>
      </c>
    </row>
    <row r="17" spans="1:5" ht="15.75">
      <c r="A17" s="81"/>
      <c r="B17" s="44"/>
      <c r="C17" s="44"/>
      <c r="D17" s="44"/>
      <c r="E17" s="44"/>
    </row>
    <row r="18" spans="1:4" ht="15.75">
      <c r="A18" s="255" t="s">
        <v>124</v>
      </c>
      <c r="B18" s="12"/>
      <c r="C18" s="12"/>
      <c r="D18" s="12"/>
    </row>
    <row r="19" spans="2:13" ht="12.75">
      <c r="B19" s="127" t="s">
        <v>58</v>
      </c>
      <c r="C19" s="127"/>
      <c r="D19" s="144" t="s">
        <v>59</v>
      </c>
      <c r="E19" s="144"/>
      <c r="F19" s="144"/>
      <c r="G19" s="144"/>
      <c r="H19" s="144"/>
      <c r="I19" s="144"/>
      <c r="J19" s="144"/>
      <c r="K19" s="144"/>
      <c r="L19" s="144"/>
      <c r="M19" s="144"/>
    </row>
    <row r="20" spans="2:13" ht="12.75">
      <c r="B20" s="127"/>
      <c r="C20" s="127"/>
      <c r="D20" s="144" t="s">
        <v>60</v>
      </c>
      <c r="E20" s="144"/>
      <c r="F20" s="144"/>
      <c r="G20" s="144"/>
      <c r="H20" s="144"/>
      <c r="I20" s="144"/>
      <c r="J20" s="144"/>
      <c r="K20" s="144"/>
      <c r="L20" s="144"/>
      <c r="M20" s="144"/>
    </row>
    <row r="21" spans="2:13" ht="12.75">
      <c r="B21" s="126" t="s">
        <v>61</v>
      </c>
      <c r="C21" s="126"/>
      <c r="D21" s="144" t="s">
        <v>62</v>
      </c>
      <c r="E21" s="144"/>
      <c r="F21" s="144"/>
      <c r="G21" s="144"/>
      <c r="H21" s="144"/>
      <c r="I21" s="144"/>
      <c r="J21" s="144"/>
      <c r="K21" s="144"/>
      <c r="L21" s="144"/>
      <c r="M21" s="144"/>
    </row>
    <row r="22" spans="2:13" ht="12.75">
      <c r="B22" s="126" t="s">
        <v>63</v>
      </c>
      <c r="C22" s="126"/>
      <c r="D22" s="144" t="s">
        <v>64</v>
      </c>
      <c r="E22" s="144"/>
      <c r="F22" s="144"/>
      <c r="G22" s="144"/>
      <c r="H22" s="144"/>
      <c r="I22" s="144"/>
      <c r="J22" s="144"/>
      <c r="K22" s="144"/>
      <c r="L22" s="144"/>
      <c r="M22" s="144"/>
    </row>
    <row r="23" spans="2:8" ht="13.5" customHeight="1">
      <c r="B23" s="33"/>
      <c r="C23" s="4"/>
      <c r="D23" s="32"/>
      <c r="E23" s="5"/>
      <c r="F23" s="5"/>
      <c r="G23" s="5"/>
      <c r="H23" s="31"/>
    </row>
    <row r="24" spans="1:8" ht="12.75">
      <c r="A24" s="264" t="s">
        <v>65</v>
      </c>
      <c r="B24" s="35"/>
      <c r="C24" s="35"/>
      <c r="D24" s="36"/>
      <c r="E24" s="5"/>
      <c r="F24" s="5"/>
      <c r="G24" s="5"/>
      <c r="H24" s="31"/>
    </row>
    <row r="25" spans="2:7" ht="14.25" customHeight="1">
      <c r="B25" s="44"/>
      <c r="C25" s="44"/>
      <c r="E25" s="128" t="s">
        <v>114</v>
      </c>
      <c r="F25" s="123"/>
      <c r="G25" s="119"/>
    </row>
    <row r="26" spans="2:7" ht="12.75">
      <c r="B26" s="72"/>
      <c r="C26" s="44"/>
      <c r="E26" s="120">
        <v>1024</v>
      </c>
      <c r="F26" s="121"/>
      <c r="G26" s="122"/>
    </row>
    <row r="27" spans="2:3" ht="12.75">
      <c r="B27" s="72"/>
      <c r="C27" s="44"/>
    </row>
    <row r="28" spans="2:7" ht="12.75">
      <c r="B28" s="72"/>
      <c r="C28" s="44"/>
      <c r="E28" s="128" t="s">
        <v>118</v>
      </c>
      <c r="F28" s="123"/>
      <c r="G28" s="119"/>
    </row>
    <row r="29" spans="5:7" ht="12.75">
      <c r="E29" s="141">
        <v>512</v>
      </c>
      <c r="F29" s="142"/>
      <c r="G29" s="143"/>
    </row>
  </sheetData>
  <mergeCells count="25">
    <mergeCell ref="F11:F12"/>
    <mergeCell ref="F13:F14"/>
    <mergeCell ref="D2:K2"/>
    <mergeCell ref="D3:K3"/>
    <mergeCell ref="B10:D10"/>
    <mergeCell ref="B9:D9"/>
    <mergeCell ref="B8:D8"/>
    <mergeCell ref="B7:D7"/>
    <mergeCell ref="E29:G29"/>
    <mergeCell ref="E25:G25"/>
    <mergeCell ref="E26:G26"/>
    <mergeCell ref="E28:G28"/>
    <mergeCell ref="B22:C22"/>
    <mergeCell ref="B19:C20"/>
    <mergeCell ref="D19:M19"/>
    <mergeCell ref="D20:M20"/>
    <mergeCell ref="D21:M21"/>
    <mergeCell ref="D22:M22"/>
    <mergeCell ref="B21:C21"/>
    <mergeCell ref="B16:D16"/>
    <mergeCell ref="E11:E12"/>
    <mergeCell ref="E13:E14"/>
    <mergeCell ref="B15:D15"/>
    <mergeCell ref="B11:D12"/>
    <mergeCell ref="B13:D14"/>
  </mergeCells>
  <printOptions/>
  <pageMargins left="0.75" right="0.75" top="0.42" bottom="0.68" header="0.31" footer="0.42"/>
  <pageSetup horizontalDpi="600" verticalDpi="600" orientation="landscape" r:id="rId4"/>
  <headerFooter alignWithMargins="0">
    <oddFooter>&amp;L&amp;D&amp;C(c) 2003 Business Objects SA Confidential&amp;RPage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M29"/>
  <sheetViews>
    <sheetView showGridLines="0" workbookViewId="0" topLeftCell="A1">
      <selection activeCell="P10" sqref="P10"/>
    </sheetView>
  </sheetViews>
  <sheetFormatPr defaultColWidth="9.140625" defaultRowHeight="12.75"/>
  <cols>
    <col min="3" max="3" width="9.7109375" style="0" customWidth="1"/>
    <col min="4" max="4" width="9.57421875" style="0" customWidth="1"/>
    <col min="6" max="6" width="4.140625" style="0" customWidth="1"/>
    <col min="9" max="9" width="7.140625" style="0" customWidth="1"/>
    <col min="10" max="10" width="7.421875" style="0" customWidth="1"/>
    <col min="12" max="12" width="7.7109375" style="0" customWidth="1"/>
    <col min="13" max="13" width="6.421875" style="0" customWidth="1"/>
  </cols>
  <sheetData>
    <row r="1" ht="12.75">
      <c r="A1" s="37"/>
    </row>
    <row r="2" spans="4:11" ht="15">
      <c r="D2" s="148" t="s">
        <v>28</v>
      </c>
      <c r="E2" s="148"/>
      <c r="F2" s="148"/>
      <c r="G2" s="148"/>
      <c r="H2" s="148"/>
      <c r="I2" s="148"/>
      <c r="J2" s="148"/>
      <c r="K2" s="148"/>
    </row>
    <row r="3" spans="4:11" ht="14.25">
      <c r="D3" s="149" t="s">
        <v>200</v>
      </c>
      <c r="E3" s="149"/>
      <c r="F3" s="149"/>
      <c r="G3" s="149"/>
      <c r="H3" s="149"/>
      <c r="I3" s="149"/>
      <c r="J3" s="149"/>
      <c r="K3" s="149"/>
    </row>
    <row r="4" spans="4:11" ht="15" thickBot="1">
      <c r="D4" s="13"/>
      <c r="E4" s="13"/>
      <c r="F4" s="13"/>
      <c r="G4" s="13"/>
      <c r="H4" s="13"/>
      <c r="I4" s="13"/>
      <c r="J4" s="13"/>
      <c r="K4" s="13"/>
    </row>
    <row r="5" spans="8:13" ht="13.5" thickBot="1">
      <c r="H5" s="17" t="s">
        <v>149</v>
      </c>
      <c r="I5" s="22"/>
      <c r="J5" s="22"/>
      <c r="K5" s="99"/>
      <c r="L5" s="100"/>
      <c r="M5" s="101"/>
    </row>
    <row r="6" spans="1:13" ht="15.75">
      <c r="A6" s="255" t="s">
        <v>37</v>
      </c>
      <c r="H6" s="266" t="s">
        <v>150</v>
      </c>
      <c r="I6" s="88"/>
      <c r="J6" s="88"/>
      <c r="K6" s="267" t="s">
        <v>151</v>
      </c>
      <c r="L6" s="82"/>
      <c r="M6" s="83"/>
    </row>
    <row r="7" spans="2:13" ht="12.75">
      <c r="B7" s="145" t="s">
        <v>38</v>
      </c>
      <c r="C7" s="145"/>
      <c r="D7" s="145"/>
      <c r="E7" s="261">
        <v>25</v>
      </c>
      <c r="H7" s="20" t="s">
        <v>152</v>
      </c>
      <c r="I7" s="21"/>
      <c r="J7" s="21"/>
      <c r="K7" s="20" t="s">
        <v>46</v>
      </c>
      <c r="L7" s="21"/>
      <c r="M7" s="25"/>
    </row>
    <row r="8" spans="2:13" ht="12.75">
      <c r="B8" s="145" t="s">
        <v>39</v>
      </c>
      <c r="C8" s="145"/>
      <c r="D8" s="145"/>
      <c r="E8" s="261">
        <v>30</v>
      </c>
      <c r="H8" s="23" t="s">
        <v>153</v>
      </c>
      <c r="I8" s="24"/>
      <c r="J8" s="24"/>
      <c r="K8" s="20" t="s">
        <v>154</v>
      </c>
      <c r="L8" s="21"/>
      <c r="M8" s="25"/>
    </row>
    <row r="9" spans="2:13" ht="12.75">
      <c r="B9" s="145" t="s">
        <v>40</v>
      </c>
      <c r="C9" s="145"/>
      <c r="D9" s="145"/>
      <c r="E9" s="261">
        <v>164</v>
      </c>
      <c r="F9" t="s">
        <v>34</v>
      </c>
      <c r="H9" s="18">
        <v>164</v>
      </c>
      <c r="I9" s="19"/>
      <c r="J9" s="19"/>
      <c r="K9" s="18">
        <v>256</v>
      </c>
      <c r="L9" s="19"/>
      <c r="M9" s="27"/>
    </row>
    <row r="10" spans="2:13" ht="12.75">
      <c r="B10" s="145" t="s">
        <v>41</v>
      </c>
      <c r="C10" s="145"/>
      <c r="D10" s="145"/>
      <c r="E10" s="261">
        <v>10</v>
      </c>
      <c r="F10" t="s">
        <v>34</v>
      </c>
      <c r="H10" s="18" t="s">
        <v>155</v>
      </c>
      <c r="I10" s="19"/>
      <c r="J10" s="19"/>
      <c r="K10" s="18" t="s">
        <v>155</v>
      </c>
      <c r="L10" s="19"/>
      <c r="M10" s="27"/>
    </row>
    <row r="11" spans="2:13" ht="12.75">
      <c r="B11" s="152" t="s">
        <v>42</v>
      </c>
      <c r="C11" s="152"/>
      <c r="D11" s="152"/>
      <c r="E11" s="262">
        <v>14</v>
      </c>
      <c r="F11" s="146" t="s">
        <v>34</v>
      </c>
      <c r="H11" s="90"/>
      <c r="I11" s="91"/>
      <c r="J11" s="91"/>
      <c r="K11" s="90"/>
      <c r="L11" s="91"/>
      <c r="M11" s="92"/>
    </row>
    <row r="12" spans="2:13" ht="12.75">
      <c r="B12" s="152"/>
      <c r="C12" s="152"/>
      <c r="D12" s="152"/>
      <c r="E12" s="262"/>
      <c r="F12" s="146"/>
      <c r="H12" s="18" t="s">
        <v>156</v>
      </c>
      <c r="I12" s="19"/>
      <c r="J12" s="19"/>
      <c r="K12" s="18" t="s">
        <v>159</v>
      </c>
      <c r="L12" s="19"/>
      <c r="M12" s="27"/>
    </row>
    <row r="13" spans="2:13" ht="12.75" customHeight="1">
      <c r="B13" s="133" t="s">
        <v>43</v>
      </c>
      <c r="C13" s="133"/>
      <c r="D13" s="133"/>
      <c r="E13" s="262">
        <v>10</v>
      </c>
      <c r="F13" s="146" t="s">
        <v>34</v>
      </c>
      <c r="H13" s="18"/>
      <c r="I13" s="19"/>
      <c r="J13" s="19"/>
      <c r="K13" s="18"/>
      <c r="L13" s="19"/>
      <c r="M13" s="27"/>
    </row>
    <row r="14" spans="2:13" ht="12.75">
      <c r="B14" s="133"/>
      <c r="C14" s="133"/>
      <c r="D14" s="133"/>
      <c r="E14" s="262"/>
      <c r="F14" s="146"/>
      <c r="H14" s="95" t="s">
        <v>155</v>
      </c>
      <c r="I14" s="93"/>
      <c r="J14" s="93"/>
      <c r="K14" s="95" t="s">
        <v>157</v>
      </c>
      <c r="L14" s="93"/>
      <c r="M14" s="94"/>
    </row>
    <row r="15" spans="2:13" ht="13.5" customHeight="1">
      <c r="B15" s="138" t="s">
        <v>164</v>
      </c>
      <c r="C15" s="139"/>
      <c r="D15" s="140"/>
      <c r="E15" s="263">
        <v>0.9</v>
      </c>
      <c r="H15" s="217" t="s">
        <v>158</v>
      </c>
      <c r="I15" s="218"/>
      <c r="J15" s="218"/>
      <c r="K15" s="214"/>
      <c r="L15" s="215"/>
      <c r="M15" s="216"/>
    </row>
    <row r="16" spans="2:13" ht="13.5" customHeight="1">
      <c r="B16" s="138" t="s">
        <v>169</v>
      </c>
      <c r="C16" s="139"/>
      <c r="D16" s="140"/>
      <c r="E16" s="265">
        <v>1024</v>
      </c>
      <c r="F16" t="s">
        <v>170</v>
      </c>
      <c r="H16" s="217"/>
      <c r="I16" s="218"/>
      <c r="J16" s="218"/>
      <c r="K16" s="102"/>
      <c r="L16" s="103"/>
      <c r="M16" s="104"/>
    </row>
    <row r="17" spans="1:13" ht="13.5" thickBot="1">
      <c r="A17" s="34"/>
      <c r="H17" s="219"/>
      <c r="I17" s="220"/>
      <c r="J17" s="220"/>
      <c r="K17" s="96"/>
      <c r="L17" s="97"/>
      <c r="M17" s="98"/>
    </row>
    <row r="18" spans="1:4" ht="15.75">
      <c r="A18" s="255" t="s">
        <v>124</v>
      </c>
      <c r="B18" s="12"/>
      <c r="C18" s="12"/>
      <c r="D18" s="12"/>
    </row>
    <row r="19" spans="2:13" ht="12.75">
      <c r="B19" s="127" t="s">
        <v>58</v>
      </c>
      <c r="C19" s="127"/>
      <c r="D19" s="144" t="s">
        <v>59</v>
      </c>
      <c r="E19" s="144"/>
      <c r="F19" s="144"/>
      <c r="G19" s="144"/>
      <c r="H19" s="144"/>
      <c r="I19" s="144"/>
      <c r="J19" s="144"/>
      <c r="K19" s="144"/>
      <c r="L19" s="144"/>
      <c r="M19" s="144"/>
    </row>
    <row r="20" spans="2:13" ht="12.75">
      <c r="B20" s="127"/>
      <c r="C20" s="127"/>
      <c r="D20" s="144" t="s">
        <v>60</v>
      </c>
      <c r="E20" s="144"/>
      <c r="F20" s="144"/>
      <c r="G20" s="144"/>
      <c r="H20" s="144"/>
      <c r="I20" s="144"/>
      <c r="J20" s="144"/>
      <c r="K20" s="144"/>
      <c r="L20" s="144"/>
      <c r="M20" s="144"/>
    </row>
    <row r="21" spans="2:13" ht="12.75">
      <c r="B21" s="126" t="s">
        <v>61</v>
      </c>
      <c r="C21" s="126"/>
      <c r="D21" s="144" t="s">
        <v>62</v>
      </c>
      <c r="E21" s="144"/>
      <c r="F21" s="144"/>
      <c r="G21" s="144"/>
      <c r="H21" s="144"/>
      <c r="I21" s="144"/>
      <c r="J21" s="144"/>
      <c r="K21" s="144"/>
      <c r="L21" s="144"/>
      <c r="M21" s="144"/>
    </row>
    <row r="22" spans="2:13" ht="12.75">
      <c r="B22" s="126" t="s">
        <v>63</v>
      </c>
      <c r="C22" s="126"/>
      <c r="D22" s="144" t="s">
        <v>64</v>
      </c>
      <c r="E22" s="144"/>
      <c r="F22" s="144"/>
      <c r="G22" s="144"/>
      <c r="H22" s="144"/>
      <c r="I22" s="144"/>
      <c r="J22" s="144"/>
      <c r="K22" s="144"/>
      <c r="L22" s="144"/>
      <c r="M22" s="144"/>
    </row>
    <row r="23" spans="2:8" ht="13.5" customHeight="1">
      <c r="B23" s="33"/>
      <c r="C23" s="4"/>
      <c r="D23" s="32"/>
      <c r="E23" s="5"/>
      <c r="F23" s="5"/>
      <c r="G23" s="5"/>
      <c r="H23" s="31"/>
    </row>
    <row r="24" spans="1:8" ht="12.75">
      <c r="A24" s="264" t="s">
        <v>65</v>
      </c>
      <c r="B24" s="35"/>
      <c r="C24" s="35"/>
      <c r="D24" s="36"/>
      <c r="E24" s="5"/>
      <c r="F24" s="5"/>
      <c r="G24" s="5"/>
      <c r="H24" s="31"/>
    </row>
    <row r="25" spans="2:7" ht="14.25" customHeight="1">
      <c r="B25" s="44"/>
      <c r="C25" s="44"/>
      <c r="E25" s="128" t="s">
        <v>114</v>
      </c>
      <c r="F25" s="123"/>
      <c r="G25" s="119"/>
    </row>
    <row r="26" spans="2:7" ht="12.75">
      <c r="B26" s="72"/>
      <c r="C26" s="44"/>
      <c r="E26" s="120">
        <v>1024</v>
      </c>
      <c r="F26" s="121"/>
      <c r="G26" s="122"/>
    </row>
    <row r="27" spans="2:3" ht="12.75">
      <c r="B27" s="72"/>
      <c r="C27" s="44"/>
    </row>
    <row r="28" spans="2:7" ht="12.75">
      <c r="B28" s="72"/>
      <c r="C28" s="44"/>
      <c r="E28" s="128" t="s">
        <v>118</v>
      </c>
      <c r="F28" s="123"/>
      <c r="G28" s="119"/>
    </row>
    <row r="29" spans="5:7" ht="12.75">
      <c r="E29" s="141">
        <v>512</v>
      </c>
      <c r="F29" s="142"/>
      <c r="G29" s="143"/>
    </row>
  </sheetData>
  <mergeCells count="27">
    <mergeCell ref="E29:G29"/>
    <mergeCell ref="E25:G25"/>
    <mergeCell ref="E26:G26"/>
    <mergeCell ref="E28:G28"/>
    <mergeCell ref="D21:M21"/>
    <mergeCell ref="D22:M22"/>
    <mergeCell ref="B21:C21"/>
    <mergeCell ref="B22:C22"/>
    <mergeCell ref="B19:C20"/>
    <mergeCell ref="D19:M19"/>
    <mergeCell ref="D20:M20"/>
    <mergeCell ref="F11:F12"/>
    <mergeCell ref="F13:F14"/>
    <mergeCell ref="K15:M15"/>
    <mergeCell ref="H15:J17"/>
    <mergeCell ref="B11:D12"/>
    <mergeCell ref="B13:D14"/>
    <mergeCell ref="E11:E12"/>
    <mergeCell ref="B16:D16"/>
    <mergeCell ref="B15:D15"/>
    <mergeCell ref="E13:E14"/>
    <mergeCell ref="D2:K2"/>
    <mergeCell ref="D3:K3"/>
    <mergeCell ref="B10:D10"/>
    <mergeCell ref="B9:D9"/>
    <mergeCell ref="B8:D8"/>
    <mergeCell ref="B7:D7"/>
  </mergeCells>
  <printOptions/>
  <pageMargins left="0.75" right="0.75" top="0.42" bottom="0.68" header="0.31" footer="0.42"/>
  <pageSetup horizontalDpi="600" verticalDpi="600" orientation="landscape" r:id="rId4"/>
  <headerFooter alignWithMargins="0">
    <oddFooter>&amp;L&amp;D&amp;C(c) 2003 Business Objects SA Confidential&amp;RPage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M29"/>
  <sheetViews>
    <sheetView showGridLines="0" workbookViewId="0" topLeftCell="A1">
      <selection activeCell="O7" sqref="O7"/>
    </sheetView>
  </sheetViews>
  <sheetFormatPr defaultColWidth="9.140625" defaultRowHeight="12.75"/>
  <cols>
    <col min="3" max="3" width="9.7109375" style="0" customWidth="1"/>
    <col min="4" max="4" width="9.57421875" style="0" customWidth="1"/>
    <col min="6" max="6" width="4.140625" style="0" customWidth="1"/>
    <col min="9" max="9" width="7.140625" style="0" customWidth="1"/>
    <col min="10" max="10" width="7.421875" style="0" customWidth="1"/>
    <col min="12" max="12" width="7.7109375" style="0" customWidth="1"/>
    <col min="13" max="13" width="6.421875" style="0" customWidth="1"/>
  </cols>
  <sheetData>
    <row r="1" ht="12.75">
      <c r="A1" s="37"/>
    </row>
    <row r="2" spans="4:11" ht="15">
      <c r="D2" s="148" t="s">
        <v>28</v>
      </c>
      <c r="E2" s="148"/>
      <c r="F2" s="148"/>
      <c r="G2" s="148"/>
      <c r="H2" s="148"/>
      <c r="I2" s="148"/>
      <c r="J2" s="148"/>
      <c r="K2" s="148"/>
    </row>
    <row r="3" spans="4:11" ht="14.25">
      <c r="D3" s="149" t="s">
        <v>200</v>
      </c>
      <c r="E3" s="149"/>
      <c r="F3" s="149"/>
      <c r="G3" s="149"/>
      <c r="H3" s="149"/>
      <c r="I3" s="149"/>
      <c r="J3" s="149"/>
      <c r="K3" s="149"/>
    </row>
    <row r="4" spans="4:11" ht="15" thickBot="1">
      <c r="D4" s="13"/>
      <c r="E4" s="13"/>
      <c r="F4" s="13"/>
      <c r="G4" s="13"/>
      <c r="H4" s="13"/>
      <c r="I4" s="13"/>
      <c r="J4" s="13"/>
      <c r="K4" s="13"/>
    </row>
    <row r="5" spans="4:13" ht="15" thickBot="1">
      <c r="D5" s="13"/>
      <c r="E5" s="13"/>
      <c r="F5" s="13"/>
      <c r="G5" s="13"/>
      <c r="H5" s="17" t="s">
        <v>123</v>
      </c>
      <c r="I5" s="22"/>
      <c r="J5" s="22"/>
      <c r="K5" s="22"/>
      <c r="L5" s="28"/>
      <c r="M5" s="29"/>
    </row>
    <row r="6" spans="1:13" ht="15.75">
      <c r="A6" s="255" t="s">
        <v>37</v>
      </c>
      <c r="H6" s="266" t="s">
        <v>47</v>
      </c>
      <c r="I6" s="88"/>
      <c r="J6" s="89"/>
      <c r="K6" s="267" t="s">
        <v>48</v>
      </c>
      <c r="L6" s="82"/>
      <c r="M6" s="83"/>
    </row>
    <row r="7" spans="2:13" ht="12.75">
      <c r="B7" s="145" t="s">
        <v>38</v>
      </c>
      <c r="C7" s="145"/>
      <c r="D7" s="145"/>
      <c r="E7" s="261">
        <v>15</v>
      </c>
      <c r="H7" s="20" t="s">
        <v>49</v>
      </c>
      <c r="I7" s="21"/>
      <c r="J7" s="25"/>
      <c r="K7" s="20" t="s">
        <v>46</v>
      </c>
      <c r="L7" s="21"/>
      <c r="M7" s="25"/>
    </row>
    <row r="8" spans="2:13" ht="12.75">
      <c r="B8" s="145" t="s">
        <v>39</v>
      </c>
      <c r="C8" s="145"/>
      <c r="D8" s="145"/>
      <c r="E8" s="261">
        <v>40</v>
      </c>
      <c r="H8" s="23" t="s">
        <v>50</v>
      </c>
      <c r="I8" s="24"/>
      <c r="J8" s="26"/>
      <c r="K8" s="20" t="s">
        <v>51</v>
      </c>
      <c r="L8" s="21"/>
      <c r="M8" s="25"/>
    </row>
    <row r="9" spans="2:13" ht="12.75">
      <c r="B9" s="145" t="s">
        <v>40</v>
      </c>
      <c r="C9" s="145"/>
      <c r="D9" s="145"/>
      <c r="E9" s="261">
        <v>256</v>
      </c>
      <c r="F9" t="s">
        <v>34</v>
      </c>
      <c r="H9" s="18" t="s">
        <v>52</v>
      </c>
      <c r="I9" s="19"/>
      <c r="J9" s="27"/>
      <c r="K9" s="18">
        <v>256</v>
      </c>
      <c r="L9" s="19"/>
      <c r="M9" s="27"/>
    </row>
    <row r="10" spans="2:13" ht="12.75">
      <c r="B10" s="145" t="s">
        <v>41</v>
      </c>
      <c r="C10" s="145"/>
      <c r="D10" s="145"/>
      <c r="E10" s="261">
        <v>9</v>
      </c>
      <c r="F10" t="s">
        <v>34</v>
      </c>
      <c r="H10" s="18" t="s">
        <v>53</v>
      </c>
      <c r="I10" s="19"/>
      <c r="J10" s="27"/>
      <c r="K10" s="18">
        <v>10</v>
      </c>
      <c r="L10" s="19"/>
      <c r="M10" s="27"/>
    </row>
    <row r="11" spans="2:13" ht="12.75">
      <c r="B11" s="152" t="s">
        <v>42</v>
      </c>
      <c r="C11" s="152"/>
      <c r="D11" s="152"/>
      <c r="E11" s="262">
        <v>27</v>
      </c>
      <c r="F11" s="146" t="s">
        <v>34</v>
      </c>
      <c r="H11" s="90"/>
      <c r="I11" s="91"/>
      <c r="J11" s="92"/>
      <c r="K11" s="90"/>
      <c r="L11" s="91"/>
      <c r="M11" s="92"/>
    </row>
    <row r="12" spans="2:13" ht="12.75">
      <c r="B12" s="152"/>
      <c r="C12" s="152"/>
      <c r="D12" s="152"/>
      <c r="E12" s="262"/>
      <c r="F12" s="146"/>
      <c r="H12" s="18" t="s">
        <v>54</v>
      </c>
      <c r="I12" s="19"/>
      <c r="J12" s="27"/>
      <c r="K12" s="18">
        <v>30</v>
      </c>
      <c r="L12" s="19"/>
      <c r="M12" s="27"/>
    </row>
    <row r="13" spans="2:13" ht="12.75">
      <c r="B13" s="133" t="s">
        <v>43</v>
      </c>
      <c r="C13" s="133"/>
      <c r="D13" s="133"/>
      <c r="E13" s="262">
        <v>16</v>
      </c>
      <c r="F13" s="146" t="s">
        <v>34</v>
      </c>
      <c r="H13" s="90"/>
      <c r="I13" s="91"/>
      <c r="J13" s="92"/>
      <c r="K13" s="90"/>
      <c r="L13" s="91"/>
      <c r="M13" s="92"/>
    </row>
    <row r="14" spans="2:13" ht="12.75">
      <c r="B14" s="133"/>
      <c r="C14" s="133"/>
      <c r="D14" s="133"/>
      <c r="E14" s="262"/>
      <c r="F14" s="146"/>
      <c r="H14" s="18" t="s">
        <v>55</v>
      </c>
      <c r="I14" s="19"/>
      <c r="J14" s="27"/>
      <c r="K14" s="18">
        <v>20</v>
      </c>
      <c r="L14" s="19"/>
      <c r="M14" s="27"/>
    </row>
    <row r="15" spans="2:13" ht="12.75">
      <c r="B15" s="138" t="s">
        <v>164</v>
      </c>
      <c r="C15" s="139"/>
      <c r="D15" s="140"/>
      <c r="E15" s="263">
        <v>0.9</v>
      </c>
      <c r="H15" s="221" t="s">
        <v>56</v>
      </c>
      <c r="I15" s="222"/>
      <c r="J15" s="223"/>
      <c r="K15" s="214" t="s">
        <v>57</v>
      </c>
      <c r="L15" s="190"/>
      <c r="M15" s="227"/>
    </row>
    <row r="16" spans="1:13" ht="16.5" thickBot="1">
      <c r="A16" s="81"/>
      <c r="B16" s="231" t="s">
        <v>169</v>
      </c>
      <c r="C16" s="232"/>
      <c r="D16" s="233"/>
      <c r="E16" s="261">
        <v>1024</v>
      </c>
      <c r="F16" t="s">
        <v>170</v>
      </c>
      <c r="H16" s="224"/>
      <c r="I16" s="225"/>
      <c r="J16" s="226"/>
      <c r="K16" s="228"/>
      <c r="L16" s="229"/>
      <c r="M16" s="230"/>
    </row>
    <row r="17" spans="1:13" ht="15.75">
      <c r="A17" s="81"/>
      <c r="B17" s="44"/>
      <c r="C17" s="44"/>
      <c r="D17" s="44"/>
      <c r="E17" s="44"/>
      <c r="H17" s="73"/>
      <c r="I17" s="73"/>
      <c r="J17" s="73"/>
      <c r="K17" s="30"/>
      <c r="L17" s="30"/>
      <c r="M17" s="30"/>
    </row>
    <row r="18" spans="1:4" ht="15.75">
      <c r="A18" s="255" t="s">
        <v>124</v>
      </c>
      <c r="B18" s="12"/>
      <c r="C18" s="12"/>
      <c r="D18" s="12"/>
    </row>
    <row r="19" spans="2:13" ht="12.75">
      <c r="B19" s="127" t="s">
        <v>58</v>
      </c>
      <c r="C19" s="127"/>
      <c r="D19" s="144" t="s">
        <v>59</v>
      </c>
      <c r="E19" s="144"/>
      <c r="F19" s="144"/>
      <c r="G19" s="144"/>
      <c r="H19" s="144"/>
      <c r="I19" s="144"/>
      <c r="J19" s="144"/>
      <c r="K19" s="144"/>
      <c r="L19" s="144"/>
      <c r="M19" s="144"/>
    </row>
    <row r="20" spans="2:13" ht="12.75">
      <c r="B20" s="127"/>
      <c r="C20" s="127"/>
      <c r="D20" s="144" t="s">
        <v>60</v>
      </c>
      <c r="E20" s="144"/>
      <c r="F20" s="144"/>
      <c r="G20" s="144"/>
      <c r="H20" s="144"/>
      <c r="I20" s="144"/>
      <c r="J20" s="144"/>
      <c r="K20" s="144"/>
      <c r="L20" s="144"/>
      <c r="M20" s="144"/>
    </row>
    <row r="21" spans="2:13" ht="12.75">
      <c r="B21" s="126" t="s">
        <v>61</v>
      </c>
      <c r="C21" s="126"/>
      <c r="D21" s="144" t="s">
        <v>62</v>
      </c>
      <c r="E21" s="144"/>
      <c r="F21" s="144"/>
      <c r="G21" s="144"/>
      <c r="H21" s="144"/>
      <c r="I21" s="144"/>
      <c r="J21" s="144"/>
      <c r="K21" s="144"/>
      <c r="L21" s="144"/>
      <c r="M21" s="144"/>
    </row>
    <row r="22" spans="2:13" ht="12.75">
      <c r="B22" s="126" t="s">
        <v>63</v>
      </c>
      <c r="C22" s="126"/>
      <c r="D22" s="144" t="s">
        <v>64</v>
      </c>
      <c r="E22" s="144"/>
      <c r="F22" s="144"/>
      <c r="G22" s="144"/>
      <c r="H22" s="144"/>
      <c r="I22" s="144"/>
      <c r="J22" s="144"/>
      <c r="K22" s="144"/>
      <c r="L22" s="144"/>
      <c r="M22" s="144"/>
    </row>
    <row r="23" spans="2:8" ht="13.5" customHeight="1">
      <c r="B23" s="33"/>
      <c r="C23" s="4"/>
      <c r="D23" s="32"/>
      <c r="E23" s="5"/>
      <c r="F23" s="5"/>
      <c r="G23" s="5"/>
      <c r="H23" s="31"/>
    </row>
    <row r="24" spans="1:8" ht="12.75">
      <c r="A24" s="264" t="s">
        <v>65</v>
      </c>
      <c r="B24" s="35"/>
      <c r="C24" s="35"/>
      <c r="D24" s="36"/>
      <c r="E24" s="5"/>
      <c r="F24" s="5"/>
      <c r="G24" s="5"/>
      <c r="H24" s="31"/>
    </row>
    <row r="25" spans="2:7" ht="14.25" customHeight="1">
      <c r="B25" s="44"/>
      <c r="C25" s="44"/>
      <c r="E25" s="128" t="s">
        <v>114</v>
      </c>
      <c r="F25" s="123"/>
      <c r="G25" s="119"/>
    </row>
    <row r="26" spans="2:7" ht="12.75">
      <c r="B26" s="72"/>
      <c r="C26" s="44"/>
      <c r="E26" s="120">
        <v>1024</v>
      </c>
      <c r="F26" s="121"/>
      <c r="G26" s="122"/>
    </row>
    <row r="27" spans="2:3" ht="12.75">
      <c r="B27" s="72"/>
      <c r="C27" s="44"/>
    </row>
    <row r="28" spans="2:7" ht="12.75">
      <c r="B28" s="72"/>
      <c r="C28" s="44"/>
      <c r="E28" s="128" t="s">
        <v>118</v>
      </c>
      <c r="F28" s="123"/>
      <c r="G28" s="119"/>
    </row>
    <row r="29" spans="5:7" ht="12.75">
      <c r="E29" s="141">
        <v>512</v>
      </c>
      <c r="F29" s="142"/>
      <c r="G29" s="143"/>
    </row>
  </sheetData>
  <mergeCells count="27">
    <mergeCell ref="B21:C21"/>
    <mergeCell ref="B11:D12"/>
    <mergeCell ref="B13:D14"/>
    <mergeCell ref="B22:C22"/>
    <mergeCell ref="B19:C20"/>
    <mergeCell ref="D19:M19"/>
    <mergeCell ref="D20:M20"/>
    <mergeCell ref="F11:F12"/>
    <mergeCell ref="E11:E12"/>
    <mergeCell ref="E13:E14"/>
    <mergeCell ref="H15:J16"/>
    <mergeCell ref="E29:G29"/>
    <mergeCell ref="E25:G25"/>
    <mergeCell ref="E26:G26"/>
    <mergeCell ref="E28:G28"/>
    <mergeCell ref="D21:M21"/>
    <mergeCell ref="D22:M22"/>
    <mergeCell ref="K15:M16"/>
    <mergeCell ref="B16:D16"/>
    <mergeCell ref="B15:D15"/>
    <mergeCell ref="F13:F14"/>
    <mergeCell ref="D2:K2"/>
    <mergeCell ref="D3:K3"/>
    <mergeCell ref="B10:D10"/>
    <mergeCell ref="B9:D9"/>
    <mergeCell ref="B8:D8"/>
    <mergeCell ref="B7:D7"/>
  </mergeCells>
  <printOptions/>
  <pageMargins left="0.75" right="0.75" top="0.42" bottom="0.68" header="0.31" footer="0.42"/>
  <pageSetup horizontalDpi="600" verticalDpi="600" orientation="landscape" r:id="rId4"/>
  <headerFooter alignWithMargins="0">
    <oddFooter>&amp;L&amp;D&amp;C(c) 2003 Business Objects SA Confidential&amp;RPage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Objects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Turchioe</dc:creator>
  <cp:keywords/>
  <dc:description/>
  <cp:lastModifiedBy>bowens</cp:lastModifiedBy>
  <cp:lastPrinted>2003-08-26T06:47:42Z</cp:lastPrinted>
  <dcterms:created xsi:type="dcterms:W3CDTF">2003-08-25T03:34:18Z</dcterms:created>
  <dcterms:modified xsi:type="dcterms:W3CDTF">2006-01-20T14:46:04Z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Brendan Owens</vt:lpwstr>
  </property>
  <property fmtid="{D5CDD505-2E9C-101B-9397-08002B2CF9AE}" pid="3" name="_AdHocReviewCycleID">
    <vt:i4>-1585159295</vt:i4>
  </property>
  <property fmtid="{D5CDD505-2E9C-101B-9397-08002B2CF9AE}" pid="4" name="_EmailSubject">
    <vt:lpwstr>V1.1 of the e6 CPS ready for sales central</vt:lpwstr>
  </property>
  <property fmtid="{D5CDD505-2E9C-101B-9397-08002B2CF9AE}" pid="5" name="_AuthorEmail">
    <vt:lpwstr>tom.turchioe@businessobjects.com</vt:lpwstr>
  </property>
  <property fmtid="{D5CDD505-2E9C-101B-9397-08002B2CF9AE}" pid="6" name="_AuthorEmailDisplayName">
    <vt:lpwstr>Tom Turchioe</vt:lpwstr>
  </property>
  <property fmtid="{D5CDD505-2E9C-101B-9397-08002B2CF9AE}" pid="7" name="_PreviousAdHocReviewCycleID">
    <vt:i4>-2104200316</vt:i4>
  </property>
</Properties>
</file>